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180" windowWidth="10080" windowHeight="9735" tabRatio="880" firstSheet="3" activeTab="8"/>
  </bookViews>
  <sheets>
    <sheet name="Biểu kèm NQ48" sheetId="1" r:id="rId1"/>
    <sheet name="Biểu kèm NQ50" sheetId="2" r:id="rId2"/>
    <sheet name="Biểu kèm NQ51" sheetId="3" r:id="rId3"/>
    <sheet name="Biểu kèm NQ52" sheetId="4" r:id="rId4"/>
    <sheet name="Biểu kèm NQ53" sheetId="5" r:id="rId5"/>
    <sheet name="Biểu kèm NQ54 ĐT+SN" sheetId="6" r:id="rId6"/>
    <sheet name="Biểu kèm NQ58" sheetId="7" r:id="rId7"/>
    <sheet name="Biểu kèm NQ59" sheetId="8" r:id="rId8"/>
    <sheet name="Biểu kèm NQ61" sheetId="9" r:id="rId9"/>
  </sheets>
  <definedNames>
    <definedName name="chuong_phuluc_48" localSheetId="0">'Biểu kèm NQ48'!$E$1</definedName>
    <definedName name="chuong_phuluc_48_name" localSheetId="0">'Biểu kèm NQ48'!$A$2</definedName>
    <definedName name="chuong_phuluc_51" localSheetId="2">'Biểu kèm NQ51'!$D$1</definedName>
    <definedName name="chuong_phuluc_51_name" localSheetId="2">'Biểu kèm NQ51'!$A$2</definedName>
    <definedName name="chuong_phuluc_52" localSheetId="3">'Biểu kèm NQ52'!#REF!</definedName>
    <definedName name="chuong_phuluc_52_name" localSheetId="3">'Biểu kèm NQ52'!$A$2</definedName>
    <definedName name="chuong_phuluc_54" localSheetId="5">'Biểu kèm NQ54 ĐT+SN'!$AH$1</definedName>
    <definedName name="chuong_phuluc_54_name" localSheetId="5">'Biểu kèm NQ54 ĐT+SN'!$A$2</definedName>
    <definedName name="chuong_phuluc_57" localSheetId="6">'Biểu kèm NQ58'!$J$1</definedName>
    <definedName name="chuong_phuluc_57_name" localSheetId="6">'Biểu kèm NQ58'!$A$2</definedName>
    <definedName name="chuong_phuluc_59_name" localSheetId="7">'Biểu kèm NQ59'!$A$2</definedName>
    <definedName name="chuong_phuluc_61" localSheetId="8">'Biểu kèm NQ61'!$Q$1</definedName>
    <definedName name="chuong_phuluc_61_name" localSheetId="8">'Biểu kèm NQ61'!$A$2</definedName>
    <definedName name="_xlnm.Print_Area" localSheetId="1">'Biểu kèm NQ50'!$A$1:$H$65</definedName>
    <definedName name="_xlnm.Print_Area" localSheetId="5">'Biểu kèm NQ54 ĐT+SN'!$A$1:$Z$102</definedName>
    <definedName name="_xlnm.Print_Area" localSheetId="6">'Biểu kèm NQ58'!$A$1:$Y$21</definedName>
    <definedName name="_xlnm.Print_Area" localSheetId="7">'Biểu kèm NQ59'!$A$1:$Z$21</definedName>
    <definedName name="_xlnm.Print_Area" localSheetId="8">'Biểu kèm NQ61'!$A$1:$S$34</definedName>
    <definedName name="_xlnm.Print_Titles" localSheetId="1">'Biểu kèm NQ50'!$5:$7</definedName>
    <definedName name="_xlnm.Print_Titles" localSheetId="2">'Biểu kèm NQ51'!$7:$8</definedName>
    <definedName name="_xlnm.Print_Titles" localSheetId="3">'Biểu kèm NQ52'!$5:$6</definedName>
    <definedName name="_xlnm.Print_Titles" localSheetId="4">'Biểu kèm NQ53'!$5:$6</definedName>
    <definedName name="_xlnm.Print_Titles" localSheetId="5">'Biểu kèm NQ54 ĐT+SN'!$5:$8</definedName>
  </definedNames>
  <calcPr fullCalcOnLoad="1"/>
</workbook>
</file>

<file path=xl/comments6.xml><?xml version="1.0" encoding="utf-8"?>
<comments xmlns="http://schemas.openxmlformats.org/spreadsheetml/2006/main">
  <authors>
    <author>AutoBVT</author>
  </authors>
  <commentList>
    <comment ref="D11" authorId="0">
      <text>
        <r>
          <rPr>
            <b/>
            <sz val="9"/>
            <rFont val="Tahoma"/>
            <family val="0"/>
          </rPr>
          <t>AutoBVT:</t>
        </r>
        <r>
          <rPr>
            <sz val="9"/>
            <rFont val="Tahoma"/>
            <family val="0"/>
          </rPr>
          <t xml:space="preserve">
Bao gồm cả dân chính đảng; ban bảo vệ chăm sóc SK cán bộ tỉnh</t>
        </r>
      </text>
    </comment>
    <comment ref="D27" authorId="0">
      <text>
        <r>
          <rPr>
            <b/>
            <sz val="9"/>
            <rFont val="Tahoma"/>
            <family val="0"/>
          </rPr>
          <t>AutoBVT:</t>
        </r>
        <r>
          <rPr>
            <sz val="9"/>
            <rFont val="Tahoma"/>
            <family val="0"/>
          </rPr>
          <t xml:space="preserve">
Bao gồm cả trường CĐSP</t>
        </r>
      </text>
    </comment>
    <comment ref="J27" authorId="0">
      <text>
        <r>
          <rPr>
            <b/>
            <sz val="9"/>
            <rFont val="Tahoma"/>
            <family val="0"/>
          </rPr>
          <t>AutoBVT:</t>
        </r>
        <r>
          <rPr>
            <sz val="9"/>
            <rFont val="Tahoma"/>
            <family val="0"/>
          </rPr>
          <t xml:space="preserve">
trừ tạm 174,106
</t>
        </r>
      </text>
    </comment>
    <comment ref="E79" authorId="0">
      <text>
        <r>
          <rPr>
            <b/>
            <sz val="9"/>
            <rFont val="Tahoma"/>
            <family val="0"/>
          </rPr>
          <t>AutoBVT:</t>
        </r>
        <r>
          <rPr>
            <sz val="9"/>
            <rFont val="Tahoma"/>
            <family val="0"/>
          </rPr>
          <t xml:space="preserve">
Giảm DT 500tr tại QĐ 873</t>
        </r>
      </text>
    </comment>
  </commentList>
</comments>
</file>

<file path=xl/sharedStrings.xml><?xml version="1.0" encoding="utf-8"?>
<sst xmlns="http://schemas.openxmlformats.org/spreadsheetml/2006/main" count="794" uniqueCount="437">
  <si>
    <t>Liên đoàn lao động tỉnh</t>
  </si>
  <si>
    <t>Quỹ phòng chống thiên tai</t>
  </si>
  <si>
    <t>Trường cao Đẳng nghề</t>
  </si>
  <si>
    <t>Hội  Người cao tuổi</t>
  </si>
  <si>
    <t>Công ty CP cấp nước Điện Biên</t>
  </si>
  <si>
    <t>Sở Văn hóa- Thể thao và DL</t>
  </si>
  <si>
    <t>Ban Quản lý các công trình dân dụng và công nghiệp</t>
  </si>
  <si>
    <t>Trung tâm Quy hoạch xây dựng</t>
  </si>
  <si>
    <t xml:space="preserve">Ban QLDA phát triển CSHT du lịch tiểu vùng sông Mê Công </t>
  </si>
  <si>
    <t>Ban QLDA giảm nghèo tỉnh</t>
  </si>
  <si>
    <t>Quỹ bảo trì đường bộ</t>
  </si>
  <si>
    <t>Tổng</t>
  </si>
  <si>
    <t xml:space="preserve">Tên đơn vị </t>
  </si>
  <si>
    <t xml:space="preserve">Thu từ khu vực doanh nghiệp có vốn đầu tư nước ngoài </t>
  </si>
  <si>
    <t xml:space="preserve">Thu từ khu vực kinh tế ngoài quốc doanh </t>
  </si>
  <si>
    <t xml:space="preserve"> - Thu khác</t>
  </si>
  <si>
    <t>QUYẾT TOÁN CHI NGÂN SÁCH CẤP TỈNH CHO TỪNG CƠ QUAN, TỔ CHỨC THEO LĨNH VỰC NĂM 2018</t>
  </si>
  <si>
    <t>Thuế xuất khẩu</t>
  </si>
  <si>
    <t>CHI CHUYỂN NGUỒN SANG NĂM SAU</t>
  </si>
  <si>
    <t>Bao gồm</t>
  </si>
  <si>
    <t>Vốn đầu tư</t>
  </si>
  <si>
    <t>Chi các chương trình mục tiêu, nhiệm vụ khác</t>
  </si>
  <si>
    <t>Chi quốc phòng</t>
  </si>
  <si>
    <t>Chi an ninh và trật tự an toàn xã hội</t>
  </si>
  <si>
    <t>Chi các hoạt động kinh tế</t>
  </si>
  <si>
    <t>Chi chuyển nguồn sang ngân sách năm sau</t>
  </si>
  <si>
    <t>Biểu mẫu số 53</t>
  </si>
  <si>
    <t>Biểu mẫu số 54</t>
  </si>
  <si>
    <t>Đầu tư phát triển</t>
  </si>
  <si>
    <t>Kinh phí sự nghiệp</t>
  </si>
  <si>
    <t>Vốn ngoài nước</t>
  </si>
  <si>
    <t>Huyện Tuần giáo</t>
  </si>
  <si>
    <t>Huyện Mường Ảng</t>
  </si>
  <si>
    <t>Huyện Điện Biên</t>
  </si>
  <si>
    <t>Huyện Mường Chà</t>
  </si>
  <si>
    <t>Huyện Tủa Chùa</t>
  </si>
  <si>
    <t>Huyện Mường Nhé</t>
  </si>
  <si>
    <t>Huyện Điện Biên Đông</t>
  </si>
  <si>
    <t>TP Điện Biên phủ</t>
  </si>
  <si>
    <t>Thị xã Mường Lay</t>
  </si>
  <si>
    <t>Huyện Nậm Pồ</t>
  </si>
  <si>
    <t xml:space="preserve"> - Bội thu</t>
  </si>
  <si>
    <t>Các cơ quan, đơn vị của tỉnh</t>
  </si>
  <si>
    <t>Vốn sự nghiệp</t>
  </si>
  <si>
    <t>Chi hoạt động của các cơ quan quản lý nhà nước, đảng, đoàn thể</t>
  </si>
  <si>
    <t>1.12</t>
  </si>
  <si>
    <t>Chi Bảo đảm xã hội</t>
  </si>
  <si>
    <t>1.13</t>
  </si>
  <si>
    <t>Chi ngành, lĩnh vực khác</t>
  </si>
  <si>
    <t>Chi đầu tư và hỗ trợ vốn cho các doanh nghiệp hoạt động công</t>
  </si>
  <si>
    <t>Chi trả nợ lãi vay theo quy định</t>
  </si>
  <si>
    <t>2.1</t>
  </si>
  <si>
    <t>2.2</t>
  </si>
  <si>
    <t>2.3</t>
  </si>
  <si>
    <t>2.4</t>
  </si>
  <si>
    <t>2.5</t>
  </si>
  <si>
    <t>2.6</t>
  </si>
  <si>
    <t>2.7</t>
  </si>
  <si>
    <t>2.8</t>
  </si>
  <si>
    <t>2.9</t>
  </si>
  <si>
    <t>2.10</t>
  </si>
  <si>
    <t>2.11</t>
  </si>
  <si>
    <t>2.12</t>
  </si>
  <si>
    <t>2.13</t>
  </si>
  <si>
    <t>Chi khác</t>
  </si>
  <si>
    <t>2.14</t>
  </si>
  <si>
    <t>Chi tạo nguồn CCTL</t>
  </si>
  <si>
    <t>Chi chuyển nguồn</t>
  </si>
  <si>
    <t>CHI BỔ SUNG CHO NGÂN SÁCH CẤP DƯỚI</t>
  </si>
  <si>
    <t>Bổ sung cân đối</t>
  </si>
  <si>
    <t>Trong đó: - Bằng nguồn vốn trong nước</t>
  </si>
  <si>
    <t xml:space="preserve">                - Bằng nguồn vốn ngoài nước</t>
  </si>
  <si>
    <t>CHI NỘP NGÂN SÁCH CẤP TRÊN</t>
  </si>
  <si>
    <t>Sở Ngoại vụ</t>
  </si>
  <si>
    <t>Sở Tư pháp</t>
  </si>
  <si>
    <t>Sở Công thương</t>
  </si>
  <si>
    <t>Sở Tài chính</t>
  </si>
  <si>
    <t>Sở Xây dựng</t>
  </si>
  <si>
    <t>Sở Y tế</t>
  </si>
  <si>
    <t>Sở Thông tin và TT</t>
  </si>
  <si>
    <t>Sở Nội vụ</t>
  </si>
  <si>
    <t>STT</t>
  </si>
  <si>
    <t>Nội dung</t>
  </si>
  <si>
    <t>A</t>
  </si>
  <si>
    <t>B</t>
  </si>
  <si>
    <t>Đơn vị: Triệu đồng</t>
  </si>
  <si>
    <t>Thu nội địa</t>
  </si>
  <si>
    <t>II</t>
  </si>
  <si>
    <t>III</t>
  </si>
  <si>
    <t>IV</t>
  </si>
  <si>
    <t>C</t>
  </si>
  <si>
    <t>I</t>
  </si>
  <si>
    <t>D</t>
  </si>
  <si>
    <t>TỔNG CHI NSĐP</t>
  </si>
  <si>
    <t>Chi thường xuyên</t>
  </si>
  <si>
    <t>Chi trả nợ lãi các khoản do chính quyền địa phương vay</t>
  </si>
  <si>
    <t>Chi tạo nguồn, điều chỉnh tiền lương</t>
  </si>
  <si>
    <t>E</t>
  </si>
  <si>
    <t>G</t>
  </si>
  <si>
    <t>Từ nguồn vay để trả nợ gốc</t>
  </si>
  <si>
    <t>11=12+13</t>
  </si>
  <si>
    <t>17=9/1</t>
  </si>
  <si>
    <t>18=10/2</t>
  </si>
  <si>
    <t>Thu từ kinh tế quốc doanh</t>
  </si>
  <si>
    <t>- Thuế giá trị gia tăng</t>
  </si>
  <si>
    <t>- Thuế tiêu thụ đặc biệt</t>
  </si>
  <si>
    <t>- Thuế tài nguyên</t>
  </si>
  <si>
    <t>Thu từ khu vực doanh nghiệp nhà nước do địa phương quản lý</t>
  </si>
  <si>
    <t>Tòa án nhân dân tỉnh</t>
  </si>
  <si>
    <t>Viện kiểm soát nhân dân</t>
  </si>
  <si>
    <t>Liên hiệp các hội khoa học và KT</t>
  </si>
  <si>
    <t>Quỹ Bảo vệ môi trường</t>
  </si>
  <si>
    <t>Quỹ Phát triển đất đai</t>
  </si>
  <si>
    <t>Sở Khoa học và công nghệ</t>
  </si>
  <si>
    <t>Sở Tài nguyên và Môi trường</t>
  </si>
  <si>
    <t xml:space="preserve">Ban QLDA di dân TĐC thủy điện Sơn La </t>
  </si>
  <si>
    <t xml:space="preserve">Dự toán </t>
  </si>
  <si>
    <t>- Phí và lệ phí trung ương</t>
  </si>
  <si>
    <t>- Phí và lệ phí tỉnh</t>
  </si>
  <si>
    <t>- Phí và lệ phí huyện</t>
  </si>
  <si>
    <t>- Phí và lệ phí xã, phường</t>
  </si>
  <si>
    <t>- Thu từ thu nhập sau thuế</t>
  </si>
  <si>
    <t>THU TỪ NGÂN SÁCH CẤP DƯỚI NỘP LÊN</t>
  </si>
  <si>
    <t xml:space="preserve">Chi khoa học và công nghệ </t>
  </si>
  <si>
    <t>Biểu mẫu số 58</t>
  </si>
  <si>
    <t>TP. Điện Biên phủ</t>
  </si>
  <si>
    <t>Sở Giao thông vận tải</t>
  </si>
  <si>
    <t>BCH Biên phòng tỉnh</t>
  </si>
  <si>
    <t>Vốn  sự nghiệp để thực hiện các CTMT, nhiệm vụ</t>
  </si>
  <si>
    <t>Vốn  sự nhiệp để thực hiện các CTMT, nhiệm vụ</t>
  </si>
  <si>
    <t>QUYẾT TOÁN CHI NGÂN SÁCH CẤP TỈNH  THEO LĨNH VỰC NĂM 2018</t>
  </si>
  <si>
    <t>Thuế thu nhập cá nhân</t>
  </si>
  <si>
    <t>Thuế bảo vệ môi trường</t>
  </si>
  <si>
    <t>Thu kết dư</t>
  </si>
  <si>
    <t>So sánh</t>
  </si>
  <si>
    <t>Tuyệt đối</t>
  </si>
  <si>
    <t>TỔNG NGUỒN THU NSĐP</t>
  </si>
  <si>
    <t>Thu chuyển nguồn từ năm trước chuyển sang</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</si>
  <si>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</si>
  <si>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</si>
  <si>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</si>
  <si>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</si>
  <si>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</si>
  <si>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</si>
  <si>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3=2/1</t>
  </si>
  <si>
    <t>Chi nộp trả ngân sách cấp trên</t>
  </si>
  <si>
    <t xml:space="preserve">Chương trình giảm nghèo nhanh và bền vững   </t>
  </si>
  <si>
    <t>1.1</t>
  </si>
  <si>
    <t xml:space="preserve"> Dự án 1: Chương trình 30a</t>
  </si>
  <si>
    <t>1.2</t>
  </si>
  <si>
    <t>Dự án 2: Chương trình 135</t>
  </si>
  <si>
    <t>1.3</t>
  </si>
  <si>
    <t>Dự án 3: Hỗ trợ phát triển sản xuất, đa dạng hóa sinh kế và nhân rộng mô hình giảm nghèo trên địa bàn các xã ngoài Chương trình 30a và Chương trình 135</t>
  </si>
  <si>
    <t>1.4</t>
  </si>
  <si>
    <t xml:space="preserve"> Dự án 4: Truyền thông và giảm nghèo về thông tin</t>
  </si>
  <si>
    <t>1.5</t>
  </si>
  <si>
    <t xml:space="preserve"> Dự án 5: Nâng cao năng lực và giám sát, đánh giá thực hiện Chương trình</t>
  </si>
  <si>
    <t>* Vốn đầu tư</t>
  </si>
  <si>
    <t>* Vốn sự nghiệp</t>
  </si>
  <si>
    <t>Chương trình Xây dựng nông thôn mới</t>
  </si>
  <si>
    <t>* Chi đầu tư</t>
  </si>
  <si>
    <t xml:space="preserve"> - Vốn chương trình</t>
  </si>
  <si>
    <t xml:space="preserve"> - Vốn TPCP</t>
  </si>
  <si>
    <t>* Chi sự nghiệp</t>
  </si>
  <si>
    <t xml:space="preserve"> Đầu tư các dự án từ nguồn vốn nước ngoài </t>
  </si>
  <si>
    <t xml:space="preserve"> Đầu tư các DA từ nguồn vốn trong nước</t>
  </si>
  <si>
    <t>Vốn trái phiếu chính phủ</t>
  </si>
  <si>
    <t>Dự toán</t>
  </si>
  <si>
    <t>Chi khoa học và công nghệ (3)</t>
  </si>
  <si>
    <t>VII</t>
  </si>
  <si>
    <t>Biểu mẫu số 48</t>
  </si>
  <si>
    <t>Biểu mẫu số 50</t>
  </si>
  <si>
    <t>Biểu mẫu số 51</t>
  </si>
  <si>
    <t>Biểu mẫu số 52</t>
  </si>
  <si>
    <t>Chi XDCB tập trung</t>
  </si>
  <si>
    <t>Chi từ nguồn thu sử dụng đất</t>
  </si>
  <si>
    <t>Chu XDCSHT bằng nguồn vốn vay</t>
  </si>
  <si>
    <t>Chi đầu tư và hỗ trợ vốn cho các doanh nghiệp</t>
  </si>
  <si>
    <t>Chi đầu tư từ  nguồn xổ số kiến thiết</t>
  </si>
  <si>
    <t>Chi đầu tư từ nguồn vốn khác</t>
  </si>
  <si>
    <t>Nội dung chi</t>
  </si>
  <si>
    <t>So sánh QT/DT(%)</t>
  </si>
  <si>
    <t>CHI CÂN ĐỐI NGÂN SÁCH</t>
  </si>
  <si>
    <t>Chi đầu tư phát triển cho chương trình, dự án theo lĩnh vực</t>
  </si>
  <si>
    <t>Chi Giáo dục - đào tạo và dạy nghề</t>
  </si>
  <si>
    <t>Chi Khoa học và công nghệ</t>
  </si>
  <si>
    <t>Chi Y tế, dân số và gia đình</t>
  </si>
  <si>
    <t>1.6</t>
  </si>
  <si>
    <t>Chi Văn hóa thông tin</t>
  </si>
  <si>
    <t>1.7</t>
  </si>
  <si>
    <t>Chi Phát thanh, truyền hình, thông tấn</t>
  </si>
  <si>
    <t>1.8</t>
  </si>
  <si>
    <t>Chi Thể dục thể thao</t>
  </si>
  <si>
    <t>1.9</t>
  </si>
  <si>
    <t>Chi Bảo vệ môi trường</t>
  </si>
  <si>
    <t>1.10</t>
  </si>
  <si>
    <t>1.11</t>
  </si>
  <si>
    <t>Hội Khuyến học</t>
  </si>
  <si>
    <t>Quỹ xúc tiến thương mại</t>
  </si>
  <si>
    <t>Đoàn 379</t>
  </si>
  <si>
    <t>Công an tỉnh</t>
  </si>
  <si>
    <t>Chi mục tiêu, nhiệm vụ khác</t>
  </si>
  <si>
    <t>14=15+16</t>
  </si>
  <si>
    <t>19=6/1</t>
  </si>
  <si>
    <t>20=7/2</t>
  </si>
  <si>
    <t>21=8/3</t>
  </si>
  <si>
    <t>22=9/4</t>
  </si>
  <si>
    <t>Chia ra</t>
  </si>
  <si>
    <t>Quyết toán</t>
  </si>
  <si>
    <t xml:space="preserve">Thu bổ sung từ ngân sách cấp trên </t>
  </si>
  <si>
    <t xml:space="preserve">Tổng chi cân đối NSĐP </t>
  </si>
  <si>
    <t>CHI TRẢ NỢ GỐC CỦA NSĐP</t>
  </si>
  <si>
    <t>TỔNG MỨC DƯ NỢ VAY CUỐI NĂM CỦA NSĐP</t>
  </si>
  <si>
    <t>Bổ sung cân đối ngân sách</t>
  </si>
  <si>
    <t>Bổ sung có mục tiêu</t>
  </si>
  <si>
    <t>TỔNG CHI NGÂN SÁCH ĐỊA PHƯƠNG</t>
  </si>
  <si>
    <t>CHI CÂN ĐỐI NGÂN SÁCH ĐỊA PHƯƠNG</t>
  </si>
  <si>
    <t>Chi CTMTQG</t>
  </si>
  <si>
    <t>Chi giáo dục đào tạo dạy nghề</t>
  </si>
  <si>
    <t>Biểu mẫu số 59</t>
  </si>
  <si>
    <t>So sách (%)</t>
  </si>
  <si>
    <t>Gồm</t>
  </si>
  <si>
    <t>Vốn đầu tư để thực hiện các CTMT, nhiệm vụ</t>
  </si>
  <si>
    <t>Vốn thực hiện các CTMT quốc gia</t>
  </si>
  <si>
    <t>3=4+5</t>
  </si>
  <si>
    <t>Từ nguồn bội thu</t>
  </si>
  <si>
    <t>Trung ương bổ sung có mục tiêu</t>
  </si>
  <si>
    <t>Tổng thu NSNN</t>
  </si>
  <si>
    <t>Thu NSĐP</t>
  </si>
  <si>
    <t>5=3/1</t>
  </si>
  <si>
    <t>6=4/2</t>
  </si>
  <si>
    <t>TỔNG THU CÂN ĐỐI NSNN</t>
  </si>
  <si>
    <t xml:space="preserve">Thu phí, lệ phí </t>
  </si>
  <si>
    <t>Tiền cho thuê đất, thuê mặt nước</t>
  </si>
  <si>
    <t>Thu tiền sử dụng đất</t>
  </si>
  <si>
    <t>Hội Văn học  nghệ thuật</t>
  </si>
  <si>
    <t>Hội Chữ thập đỏ</t>
  </si>
  <si>
    <t>Hội Đông y</t>
  </si>
  <si>
    <t>Hội Nhà báo</t>
  </si>
  <si>
    <t>Hội NN Chất độc da cam/Dioxin</t>
  </si>
  <si>
    <t>Liên minh các  HTX</t>
  </si>
  <si>
    <t>Chi nhánh ngân hàng phát triển và các đơn vị phát sinh</t>
  </si>
  <si>
    <t>Kho Bạc nhà nước huyện Điện Biên (DA cánh đồng lúa lớn)</t>
  </si>
  <si>
    <t>Hợp tác xã dịch vụ TH Thanh Yên (DA cánh đồng lúa lớn)</t>
  </si>
  <si>
    <t>Tiền cho thuê và tiền bán nhà ở thuộc sở hữu nhà nước</t>
  </si>
  <si>
    <t>Thu từ hoạt động xổ số kiến thiết</t>
  </si>
  <si>
    <t>TỔNG NGUỒN THU NSNN (A+B+C+D+E)</t>
  </si>
  <si>
    <t>- Thuế BVMT thu từ hàng hóa sản xuất, kinh doanh trong nước</t>
  </si>
  <si>
    <t>Hỗ trợ các tổ chức xã hội</t>
  </si>
  <si>
    <t>Sở Lao động - TB XH</t>
  </si>
  <si>
    <t>Bảo hiểm Xã hội tỉnh</t>
  </si>
  <si>
    <t>Văn phòng Đoàn Đại biểu quốc hội</t>
  </si>
  <si>
    <t xml:space="preserve">Ngân hàng chính sách xã hội </t>
  </si>
  <si>
    <t xml:space="preserve">Chi hoàn trả các khoản thu năm trước (hoàn thuế thu nhập cá nhân) </t>
  </si>
  <si>
    <t>HCSN</t>
  </si>
  <si>
    <t>QLNS</t>
  </si>
  <si>
    <t>Chi đền bù GPMB từ nguồn đối trừ số thu tiền cho thuê đất</t>
  </si>
  <si>
    <t>Quỹ dự  trữ tài chính</t>
  </si>
  <si>
    <t xml:space="preserve">DT giao cho vốn tăng dày mốc biên giới việt Lào: </t>
  </si>
  <si>
    <t>Chi Chương trình MTQG</t>
  </si>
  <si>
    <t>17=8/2</t>
  </si>
  <si>
    <t>18=9/3</t>
  </si>
  <si>
    <t>19=10/4</t>
  </si>
  <si>
    <t>20=11/5</t>
  </si>
  <si>
    <t>21=12/6</t>
  </si>
  <si>
    <t>7=8+9+10+11+12+15</t>
  </si>
  <si>
    <t>1=2+3+4+5+6</t>
  </si>
  <si>
    <t>QUYẾT TOÁN CHI NGÂN SÁCH ĐỊA PHƯƠNG THEO LĨNH VỰC NĂM 2018</t>
  </si>
  <si>
    <t>Chi bổ sung cho ngân sách cấp dưới</t>
  </si>
  <si>
    <t>3=2-1</t>
  </si>
  <si>
    <t>4=2/1</t>
  </si>
  <si>
    <t>Thu NSĐP được hưởng theo phân cấp</t>
  </si>
  <si>
    <t>Chi đầu tư phát triển</t>
  </si>
  <si>
    <t>TỔNG MỨC VAY CỦA NSĐP</t>
  </si>
  <si>
    <t>So sánh (%)</t>
  </si>
  <si>
    <t>Thuế sử dụng đất nông nghiệp</t>
  </si>
  <si>
    <t>Thuế sử dụng đất phi nông nghiệp</t>
  </si>
  <si>
    <t>Thu tiền cấp quyền khai thác khoáng sản</t>
  </si>
  <si>
    <t>Thu khác ngân sách</t>
  </si>
  <si>
    <t>Thuế nhập khẩu</t>
  </si>
  <si>
    <t>Thu khác</t>
  </si>
  <si>
    <t>Thu viện trợ</t>
  </si>
  <si>
    <t>Tương đối (%)</t>
  </si>
  <si>
    <t>Chi giáo dục - đào tạo và dạy nghề</t>
  </si>
  <si>
    <t>Chi khoa học và công nghệ</t>
  </si>
  <si>
    <t>Chi đầu tư phát triển khác</t>
  </si>
  <si>
    <t>VI</t>
  </si>
  <si>
    <t>CHI CÁC CHƯƠNG TRÌNH MỤC TIÊU</t>
  </si>
  <si>
    <t>Lệ phí trước bạ</t>
  </si>
  <si>
    <t>Văn phòng Ban an toàn giao thông</t>
  </si>
  <si>
    <t>Cục Thi hành án dân sự</t>
  </si>
  <si>
    <t>Sở Thông tin và truyền thông</t>
  </si>
  <si>
    <t>Hội cựu Thanh niên xung phong</t>
  </si>
  <si>
    <t>Hội Luật gia tỉnh</t>
  </si>
  <si>
    <t>Hội bảo trợ người tàn tật và trẻ em mồ côi</t>
  </si>
  <si>
    <t>Văn phòng Điều phối Chương trình MTQG xây dựng Nông thôn mới</t>
  </si>
  <si>
    <t>QUYẾT TOÁN CHI CHƯƠNG TRÌNH MỤC TIÊU QUỐC GIA NĂM 2018</t>
  </si>
  <si>
    <t>Chương trình mục tiêu quốc gia 2018</t>
  </si>
  <si>
    <t>Ban Dân tộc</t>
  </si>
  <si>
    <t>Hội nông dân</t>
  </si>
  <si>
    <t>Uỷ ban Mặt trận tổ quốc tỉnh</t>
  </si>
  <si>
    <t>Chi chương trình MTQG</t>
  </si>
  <si>
    <t>Chi sự nghiệp</t>
  </si>
  <si>
    <t>BỘI THU NSĐP</t>
  </si>
  <si>
    <t>5=4/3</t>
  </si>
  <si>
    <t>Đơn vị tính: Triệu đồng</t>
  </si>
  <si>
    <t xml:space="preserve">Chương trình giảm nghèo  bền vững   </t>
  </si>
  <si>
    <t>Các khoản huy động, đóng góp</t>
  </si>
  <si>
    <t>QUYẾT TOÁN CHI NGÂN SÁCH ĐỊA PHƯƠNG TỪNG HUYỆN NĂM 2018</t>
  </si>
  <si>
    <t>QUYẾT TOÁN CÂN ĐỐI NGÂN SÁCH ĐỊA PHƯƠNG NĂM 2018</t>
  </si>
  <si>
    <t>Thu từ ngân sách cấp dưới nộp lên</t>
  </si>
  <si>
    <t>23=10/5</t>
  </si>
  <si>
    <t>Chi đầu tư</t>
  </si>
  <si>
    <t xml:space="preserve">Chi đầu tư </t>
  </si>
  <si>
    <t>Ngân sách cấp tỉnh</t>
  </si>
  <si>
    <t>Ngân sách cấp huyện</t>
  </si>
  <si>
    <t>7=4/1</t>
  </si>
  <si>
    <t>8=5/2</t>
  </si>
  <si>
    <t>9=6/3</t>
  </si>
  <si>
    <t>Ngân sách địa phương</t>
  </si>
  <si>
    <t xml:space="preserve">Ngân sách cấp tỉnh </t>
  </si>
  <si>
    <t xml:space="preserve">Ngân sách huyện </t>
  </si>
  <si>
    <t>19=11/3</t>
  </si>
  <si>
    <t>20=12/4</t>
  </si>
  <si>
    <t>21=13/5</t>
  </si>
  <si>
    <t>22=14/6</t>
  </si>
  <si>
    <t>23=15/7</t>
  </si>
  <si>
    <t>24=16/8</t>
  </si>
  <si>
    <t>Biểu mẫu số 61</t>
  </si>
  <si>
    <t>16=5/1</t>
  </si>
  <si>
    <t>17=6/2</t>
  </si>
  <si>
    <t>18=7/3</t>
  </si>
  <si>
    <t>Vay để bù đắp bội chi</t>
  </si>
  <si>
    <t>Vay để trả nợ gốc</t>
  </si>
  <si>
    <t>V</t>
  </si>
  <si>
    <t>Tổng số</t>
  </si>
  <si>
    <t>TỔNG SỐ</t>
  </si>
  <si>
    <t>Trong đó:</t>
  </si>
  <si>
    <t>Vốn trong nước</t>
  </si>
  <si>
    <t>Tên đơn vị</t>
  </si>
  <si>
    <t>Trong đó</t>
  </si>
  <si>
    <t>Thanh tra tỉnh</t>
  </si>
  <si>
    <t>Tỉnh ủy</t>
  </si>
  <si>
    <t>Hội Nông dân</t>
  </si>
  <si>
    <t>Hội cựu chiến binh</t>
  </si>
  <si>
    <t>Thu từ quỹ đất công ích, hoa lợi công sản khác</t>
  </si>
  <si>
    <t>Thu hồi vốn, thu cổ tức (5)</t>
  </si>
  <si>
    <t xml:space="preserve">Thu từ hoạt động xuất nhập khẩu </t>
  </si>
  <si>
    <t>Thuế tiêu thụ đặc biệt thu từ hàng hóa nhập khẩu</t>
  </si>
  <si>
    <t>Thuế bảo vệ môi trường thu từ hàng hóa nhập khẩu</t>
  </si>
  <si>
    <t>Thuế giá trị gia tăng thu từ hàng hóa nhập khẩu</t>
  </si>
  <si>
    <t>THU KẾT DƯ NĂM TRƯỚC</t>
  </si>
  <si>
    <t>THU CHUYỂN NGUỒN TỪ NĂM TRƯỚC CHUYỂN SANG</t>
  </si>
  <si>
    <t>- Thuế thu nhập doanh nghiệp</t>
  </si>
  <si>
    <t>QUYẾT TOÁN CHI BỔ SUNG TỪ NGÂN SÁCH CẤP TỈNH  CHO NGÂN SÁCH TỪNG HUYỆN  NĂM 2018</t>
  </si>
  <si>
    <t>nộp trả</t>
  </si>
  <si>
    <t>CN</t>
  </si>
  <si>
    <t>Hội liên hiệp phụ nữ tỉnh</t>
  </si>
  <si>
    <t>Ban dân tộc</t>
  </si>
  <si>
    <t>Sở Giáo dục và Đào tạo</t>
  </si>
  <si>
    <t>Sở Nông nghiệp và PTNT</t>
  </si>
  <si>
    <t>Sở Lao động - TB và XH</t>
  </si>
  <si>
    <t>Vốn TPCP</t>
  </si>
  <si>
    <t xml:space="preserve">Nội dung </t>
  </si>
  <si>
    <t>Văn phòng HĐND tỉnh</t>
  </si>
  <si>
    <t>Trường CĐ KTKT</t>
  </si>
  <si>
    <t>Đài Phát thanh và TH tỉnh</t>
  </si>
  <si>
    <t>Bộ CHQS tỉnh</t>
  </si>
  <si>
    <t>Trường Chính trị tỉnh</t>
  </si>
  <si>
    <t>Tỉnh Đoàn thanh niên</t>
  </si>
  <si>
    <t>Sở Kế hoạch và Đầu tư</t>
  </si>
  <si>
    <t>Cục thống kê</t>
  </si>
  <si>
    <t>QUYẾT TOÁN CHI NGÂN SÁCH ĐỊA PHƯƠNG, CHI NGÂN SÁCH CẤP TỈNH  VÀ CHI NGÂN SÁCH HUYỆN THEO CƠ CẤU CHI NĂM 2018</t>
  </si>
  <si>
    <t>Văn phòng UBND tỉnh</t>
  </si>
  <si>
    <t>- Thuế BVMT thu từ hàng hóa nhập khẩu</t>
  </si>
  <si>
    <t>Công ty TNHH quản lý Thủy Nông</t>
  </si>
  <si>
    <t>Công ty cổ phần xây dựng Thủy lợi</t>
  </si>
  <si>
    <t>Chi trả nợ lãi và phí vay đầu tư cơ sở hạ tầng</t>
  </si>
  <si>
    <t>Khối huyện</t>
  </si>
  <si>
    <t xml:space="preserve">Ban QLDA các công trình Nông nghiêp và Phát triển NT </t>
  </si>
  <si>
    <t>Ban QLDA các công trình giao thông</t>
  </si>
  <si>
    <t>Ban QLDA bạn hữu trẻ em</t>
  </si>
  <si>
    <t>Chi đầu tư phát triển (không kể chương trình MTQG)</t>
  </si>
  <si>
    <t>Chi thường xuyên (không kể chương trình MTQG)</t>
  </si>
  <si>
    <t>Đầu tư</t>
  </si>
  <si>
    <t>TP.Điện Biên phủ</t>
  </si>
  <si>
    <t>Chi xây dựng cơ sở hạ tầng bằng nguồn vốn vay</t>
  </si>
  <si>
    <t xml:space="preserve"> Đầu tư các dự án từ nguồn vốn trong nước</t>
  </si>
  <si>
    <t>TỔNG HỢP QUYẾT TOÁN NGUỒN THU NGÂN SÁCH NHÀ NƯỚC TRÊN ĐỊA BÀN THEO LĨNH VỰC NĂM 2018</t>
  </si>
  <si>
    <t>Stt</t>
  </si>
  <si>
    <t>Số chi tại biểu số 60</t>
  </si>
  <si>
    <t>Nộp trả NSTW</t>
  </si>
  <si>
    <t>Chi trả nợ gốc</t>
  </si>
  <si>
    <t>THU VAY CỦA NGÂN SÁCH ĐỊA PHƯƠNG</t>
  </si>
  <si>
    <t>Vay trả nợ gốc từ nguồn chính phủ cho vay lại</t>
  </si>
  <si>
    <t>TỔNG SỐ (A+B+C)</t>
  </si>
  <si>
    <t xml:space="preserve"> - Dự án di dân tái định cư thủy điện Sơn la</t>
  </si>
  <si>
    <t xml:space="preserve"> - Dự án đường giao thông Huổi Mí</t>
  </si>
  <si>
    <t xml:space="preserve"> - Chương trình Kiên cố hóa trường lớp</t>
  </si>
  <si>
    <t xml:space="preserve"> - Thủy lợi</t>
  </si>
  <si>
    <t xml:space="preserve"> - Chương trình mục tiêu Giáo dục nghề nghiệp - Việc làm và ATLĐ </t>
  </si>
  <si>
    <t xml:space="preserve"> - Chương trình mục tiêu về Y tế và dân số</t>
  </si>
  <si>
    <t xml:space="preserve"> - Chương trình mục tiêu phát triển văn hóa</t>
  </si>
  <si>
    <t xml:space="preserve"> - Chương trình mục tiêu Hỗ trợ phát triển hệ thống trợ giúp XH</t>
  </si>
  <si>
    <t xml:space="preserve"> - Chương trình mục tiêu phát triển lâm nghiệp bền vững</t>
  </si>
  <si>
    <t xml:space="preserve"> - Chương trình mục tiêu đảm bảo ATGT, PCCC, PCTP và ma túy</t>
  </si>
  <si>
    <t xml:space="preserve"> - Hỗ trợ kinh phí thực hiện nhiệm vụ đo đạc, cấp giấy chứng nhận quyền sử dụng đất và xây dựng cơ sở dữ liệu đất đai</t>
  </si>
  <si>
    <t xml:space="preserve"> - Dự án hoàn thiện hiện đại hóa hồ sơ, bản đồ địa giới hành chính và xây dựng cơ sở dữ liệu địa giới hành chính</t>
  </si>
  <si>
    <t xml:space="preserve"> - Kinh phí thực hiện chính sách trợ giúp pháp lý theo Quyết định 32/QĐ-TTg</t>
  </si>
  <si>
    <t xml:space="preserve"> - Kinh phí phân giới cắm mốc biên  giới Việt - Lào</t>
  </si>
  <si>
    <t xml:space="preserve"> - Chương trình mục tiêu tái cơ cấu kinh tế nông nghiệp, phòng chống giảm nhẹ thiên tai, ổn định đời sống dân cư (Sắp xếp lại dân cư những nơi cần thiết theo QĐ 193 và QĐ 1776 )</t>
  </si>
  <si>
    <t xml:space="preserve"> - Đề án PTKTXH vùng dân tộc rất ít người (dân tộc Cống)</t>
  </si>
  <si>
    <t xml:space="preserve"> - Hỗ trợ kinh phí mua thiết bị chiếu phim và xe ô tô chuyên dụng</t>
  </si>
  <si>
    <t xml:space="preserve"> - Kinh phí TH Đề án Sắp xếp ổn định dân cư, PTKTXH, đảm bảo QPAN huyện Mường Nhé (Đề án 79)</t>
  </si>
  <si>
    <t xml:space="preserve"> - Kinh phí  khắc phục hậu quả hạn hán vụ đông  xuân</t>
  </si>
  <si>
    <t xml:space="preserve"> - Hỗ trợ Hội văn học nghệ thuật và Hội nhà báo</t>
  </si>
  <si>
    <t xml:space="preserve"> - Đề án giảm thiểu tình trạng tảo hôn và hôn nhân cận huyết thống</t>
  </si>
  <si>
    <t xml:space="preserve"> - Chi sự nghiệp từ nguồn vốn nước ngoài (ghi thu ghi chi)</t>
  </si>
  <si>
    <t xml:space="preserve"> - Cải tạo, xử lý ô nhiễm bãi chôn lấp rác thải Noong Bua - TPĐBP</t>
  </si>
  <si>
    <t xml:space="preserve"> - Bổ sung kinh phí thực hiện nhiệm vụ đảm bảo trật tự an toàn giao thông</t>
  </si>
  <si>
    <t xml:space="preserve"> - Chương trình quốc gia phòng chống lở mồm long móng</t>
  </si>
  <si>
    <t xml:space="preserve"> - Kinh phí thực hiện đề án củng cố, tăng cường đội ngũ cán bộ dân tộc Mông</t>
  </si>
  <si>
    <t xml:space="preserve"> - Thu bổ sung cân đối ngân sách</t>
  </si>
  <si>
    <t xml:space="preserve"> - Thu bổ sung có mục tiêu</t>
  </si>
  <si>
    <t xml:space="preserve"> - Thu NSĐP hưởng 100%</t>
  </si>
  <si>
    <t xml:space="preserve"> - Thu NSĐP hưởng từ các khoản thu phân chia</t>
  </si>
  <si>
    <t xml:space="preserve">  - DA di dân tái định cư thủy điện Sơn la</t>
  </si>
  <si>
    <t xml:space="preserve"> - DA đường giao thông Huổi Mí</t>
  </si>
  <si>
    <r>
      <t xml:space="preserve">Ghi chú: </t>
    </r>
    <r>
      <rPr>
        <i/>
        <sz val="12"/>
        <rFont val="Times New Roman"/>
        <family val="1"/>
      </rPr>
      <t>(1) Số quyết toán không bao gồm nộp trả ngân sách cấp trên và số chuyển nguồn tà năm 2017 sang năm 2018.</t>
    </r>
  </si>
  <si>
    <t>(Kèm theo Nghị quyết số  133 /NQ-HĐND ngày  06 tháng 12 năm 2019 của Hội đồng nhân dân tỉnh Điện Biên)</t>
  </si>
  <si>
    <t>(Kèm theo Nghị quyết số 133/NQ-HĐND ngày 06 tháng 12 năm 2019 của Hội đồng nhân dân tỉnh Điện Biên)</t>
  </si>
  <si>
    <t>(Kèm theo Nghị quyết số 133/NQ-HĐND ngày 06  tháng  12  năm 2019 của Hội đồng nhân dân tỉnh Điện Biên)</t>
  </si>
  <si>
    <t>(Kèm theo Nghị quyết số 133 /NQ-HĐND ngày  06  tháng 12  năm 2019 của Hội đồng nhân dân tỉnh Điện Biên)</t>
  </si>
  <si>
    <t>(Kèm theo Nghị quyết số  133/NQ-HĐND ngày 06 tháng 12  năm 2019 của Hội đồng nhân dân tỉnh Điện Biên)</t>
  </si>
  <si>
    <t>(Kèm theo Nghị quyết số 133 /NQ-HĐND ngày 06  tháng 12 năm 2019 của Hội đồng nhân dân tỉnh Điện Biên)</t>
  </si>
  <si>
    <t>(Kèm theo Nghị quyết số 133/NQ-HĐND ngày  06 tháng  12 năm 2019 của Hội đồng nhân dân tỉnh Điện Biên)</t>
  </si>
  <si>
    <t>(Kèm theo Nghị quyết số 133 /NQ-HĐND ngày  06 tháng 12 năm 2019 của Hội đồng nhân dân tỉnh Điện Biên)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</si>
</sst>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
    <numFmt numFmtId="175" formatCode="#,##0.000000"/>
    <numFmt numFmtId="176" formatCode="_(* #,##0_);_(* \(#,##0\);_(* &quot;-&quot;??_);_(@_)"/>
    <numFmt numFmtId="177" formatCode="#,###"/>
    <numFmt numFmtId="178" formatCode="#,##0;[Red]#,##0"/>
    <numFmt numFmtId="179" formatCode="#,##0.00;[Red]#,##0.00"/>
    <numFmt numFmtId="180" formatCode="#,##0.0"/>
    <numFmt numFmtId="181" formatCode="0.0000"/>
    <numFmt numFmtId="182" formatCode="0.000"/>
    <numFmt numFmtId="183" formatCode="0.0"/>
    <numFmt numFmtId="184" formatCode="#,##0.0000000"/>
    <numFmt numFmtId="185" formatCode="0.00000"/>
    <numFmt numFmtId="186" formatCode="0.000000"/>
    <numFmt numFmtId="187" formatCode="#,##0.00000000"/>
    <numFmt numFmtId="188" formatCode="0.000000E+00"/>
    <numFmt numFmtId="189" formatCode="0.0000000E+00"/>
    <numFmt numFmtId="190" formatCode="0.00000000E+00"/>
    <numFmt numFmtId="191" formatCode="0.0000000"/>
    <numFmt numFmtId="192" formatCode="#,##0.0;[Red]#,##0.0"/>
    <numFmt numFmtId="193" formatCode="#,##0.000;[Red]#,##0.000"/>
    <numFmt numFmtId="194" formatCode="#,##0.0000;[Red]#,##0.0000"/>
    <numFmt numFmtId="195" formatCode="#,##0.00000;[Red]#,##0.00000"/>
    <numFmt numFmtId="196" formatCode="#,##0.000000;[Red]#,##0.000000"/>
    <numFmt numFmtId="197" formatCode="#,##0.000000000"/>
    <numFmt numFmtId="198" formatCode="#,##0.0000000000"/>
    <numFmt numFmtId="199" formatCode="&quot;Yes&quot;;&quot;Yes&quot;;&quot;No&quot;"/>
    <numFmt numFmtId="200" formatCode="&quot;True&quot;;&quot;True&quot;;&quot;False&quot;"/>
    <numFmt numFmtId="201" formatCode="&quot;On&quot;;&quot;On&quot;;&quot;Off&quot;"/>
    <numFmt numFmtId="202" formatCode="[$€-2]\ #,##0.00_);[Red]\([$€-2]\ #,##0.00\)"/>
  </numFmts>
  <fonts count="92">
    <font>
      <sz val="11"/>
      <color theme="1"/>
      <name val="Calibri"/>
      <family val="2"/>
    </font>
    <font>
      <sz val="12"/>
      <color indexed="8"/>
      <name val="Times New Roman"/>
      <family val="2"/>
    </font>
    <font>
      <b/>
      <sz val="12"/>
      <color indexed="8"/>
      <name val="Times New Roman"/>
      <family val="1"/>
    </font>
    <font>
      <i/>
      <sz val="12"/>
      <color indexed="8"/>
      <name val="Times New Roman"/>
      <family val="1"/>
    </font>
    <font>
      <b/>
      <i/>
      <sz val="12"/>
      <color indexed="8"/>
      <name val="Times New Roman"/>
      <family val="1"/>
    </font>
    <font>
      <sz val="10"/>
      <color indexed="8"/>
      <name val="Times New Roman"/>
      <family val="1"/>
    </font>
    <font>
      <b/>
      <sz val="12"/>
      <name val="Times New Roman"/>
      <family val="1"/>
    </font>
    <font>
      <i/>
      <sz val="12"/>
      <name val="Times New Roman"/>
      <family val="1"/>
    </font>
    <font>
      <sz val="12"/>
      <name val="Times New Roman"/>
      <family val="1"/>
    </font>
    <font>
      <b/>
      <sz val="11"/>
      <color indexed="8"/>
      <name val="Calibri"/>
      <family val="2"/>
    </font>
    <font>
      <sz val="11"/>
      <color indexed="8"/>
      <name val="Calibri"/>
      <family val="2"/>
    </font>
    <font>
      <sz val="8"/>
      <name val="Calibri"/>
      <family val="2"/>
    </font>
    <font>
      <sz val="10"/>
      <color indexed="8"/>
      <name val="MS Sans Serif"/>
      <family val="2"/>
    </font>
    <font>
      <sz val="11"/>
      <name val="Times New Roman"/>
      <family val="1"/>
    </font>
    <font>
      <sz val="11"/>
      <name val="Calibri"/>
      <family val="2"/>
    </font>
    <font>
      <b/>
      <sz val="14"/>
      <color indexed="8"/>
      <name val="Times New Roman"/>
      <family val="1"/>
    </font>
    <font>
      <sz val="14"/>
      <name val="Times New Roman"/>
      <family val="1"/>
    </font>
    <font>
      <sz val="14"/>
      <color indexed="8"/>
      <name val="Calibri"/>
      <family val="2"/>
    </font>
    <font>
      <sz val="10"/>
      <name val="Times New Roman"/>
      <family val="1"/>
    </font>
    <font>
      <b/>
      <sz val="10"/>
      <name val="Times New Roman"/>
      <family val="1"/>
    </font>
    <font>
      <sz val="11"/>
      <color indexed="8"/>
      <name val="times new roman"/>
      <family val="2"/>
    </font>
    <font>
      <i/>
      <sz val="14"/>
      <color indexed="8"/>
      <name val="Times New Roman"/>
      <family val="1"/>
    </font>
    <font>
      <b/>
      <sz val="14"/>
      <name val="Times New Roman"/>
      <family val="1"/>
    </font>
    <font>
      <b/>
      <i/>
      <sz val="12"/>
      <name val="Times New Roman"/>
      <family val="1"/>
    </font>
    <font>
      <b/>
      <sz val="13"/>
      <name val="Times New Roman"/>
      <family val="1"/>
    </font>
    <font>
      <b/>
      <sz val="11"/>
      <name val="Times New Roman"/>
      <family val="1"/>
    </font>
    <font>
      <i/>
      <sz val="13"/>
      <color indexed="8"/>
      <name val="Times New Roman"/>
      <family val="1"/>
    </font>
    <font>
      <b/>
      <sz val="16"/>
      <color indexed="8"/>
      <name val="Times New Roman"/>
      <family val="1"/>
    </font>
    <font>
      <sz val="10"/>
      <name val="Arial"/>
      <family val="2"/>
    </font>
    <font>
      <sz val="12"/>
      <name val=".VnTime"/>
      <family val="2"/>
    </font>
    <font>
      <sz val="14"/>
      <name val=".VnTime"/>
      <family val="2"/>
    </font>
    <font>
      <sz val="10"/>
      <name val=".VnTime"/>
      <family val="2"/>
    </font>
    <font>
      <b/>
      <sz val="11"/>
      <color indexed="10"/>
      <name val="Times New Roman"/>
      <family val="1"/>
    </font>
    <font>
      <sz val="11"/>
      <color indexed="10"/>
      <name val="Calibri"/>
      <family val="2"/>
    </font>
    <font>
      <b/>
      <sz val="11"/>
      <color indexed="8"/>
      <name val="Times New Roman"/>
      <family val="1"/>
    </font>
    <font>
      <i/>
      <sz val="11"/>
      <name val="Calibri"/>
      <family val="2"/>
    </font>
    <font>
      <b/>
      <sz val="11"/>
      <name val="Calibri"/>
      <family val="2"/>
    </font>
    <font>
      <sz val="9"/>
      <name val="Tahoma"/>
      <family val="0"/>
    </font>
    <font>
      <b/>
      <sz val="9"/>
      <name val="Tahoma"/>
      <family val="0"/>
    </font>
    <font>
      <sz val="14"/>
      <name val="Calibri"/>
      <family val="2"/>
    </font>
    <font>
      <i/>
      <sz val="14"/>
      <name val="Times New Roman"/>
      <family val="1"/>
    </font>
    <font>
      <i/>
      <sz val="12"/>
      <name val="Calibri"/>
      <family val="2"/>
    </font>
    <font>
      <i/>
      <sz val="13"/>
      <name val="Times New Roman"/>
      <family val="1"/>
    </font>
    <font>
      <sz val="10"/>
      <name val="MS Sans Serif"/>
      <family val="2"/>
    </font>
    <font>
      <b/>
      <sz val="18"/>
      <name val="Times New Roman"/>
      <family val="1"/>
    </font>
    <font>
      <b/>
      <sz val="10"/>
      <name val="MS Sans Serif"/>
      <family val="2"/>
    </font>
    <font>
      <sz val="13"/>
      <name val="MS Sans Serif"/>
      <family val="2"/>
    </font>
    <font>
      <sz val="10"/>
      <name val="Calibri"/>
      <family val="2"/>
    </font>
    <font>
      <sz val="9"/>
      <name val="Times New Roman"/>
      <family val="1"/>
    </font>
    <font>
      <b/>
      <sz val="9"/>
      <name val="Times New Roman"/>
      <family val="1"/>
    </font>
    <font>
      <b/>
      <sz val="8"/>
      <name val="Times New Roman"/>
      <family val="1"/>
    </font>
    <font>
      <sz val="8"/>
      <name val="Times New Roman"/>
      <family val="1"/>
    </font>
    <font>
      <b/>
      <sz val="8.5"/>
      <name val="Times New Roman"/>
      <family val="1"/>
    </font>
    <font>
      <sz val="8.5"/>
      <name val="Times New Roman"/>
      <family val="1"/>
    </font>
    <font>
      <b/>
      <sz val="10"/>
      <color indexed="8"/>
      <name val="Times New Roman"/>
      <family val="1"/>
    </font>
    <font>
      <sz val="10"/>
      <name val="Arial Narrow"/>
      <family val="2"/>
    </font>
    <font>
      <sz val="10"/>
      <color indexed="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color indexed="63"/>
      </right>
      <top style="hair"/>
      <bottom style="hair"/>
    </border>
    <border>
      <left style="thin"/>
      <right style="thin"/>
      <top style="hair"/>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171" fontId="10" fillId="0" borderId="0" applyFont="0" applyFill="0" applyBorder="0" applyAlignment="0" applyProtection="0"/>
    <xf numFmtId="169" fontId="10"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0" fontId="10" fillId="0" borderId="0" applyFont="0" applyFill="0" applyBorder="0" applyAlignment="0" applyProtection="0"/>
    <xf numFmtId="168" fontId="10" fillId="0" borderId="0" applyFont="0" applyFill="0" applyBorder="0" applyAlignment="0" applyProtection="0"/>
    <xf numFmtId="0" fontId="77" fillId="27" borderId="2" applyNumberFormat="0" applyAlignment="0" applyProtection="0"/>
    <xf numFmtId="0" fontId="78" fillId="0" borderId="0" applyNumberFormat="0" applyFill="0" applyBorder="0" applyAlignment="0" applyProtection="0"/>
    <xf numFmtId="0" fontId="79" fillId="28"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1" applyNumberFormat="0" applyAlignment="0" applyProtection="0"/>
    <xf numFmtId="0" fontId="85" fillId="0" borderId="6" applyNumberFormat="0" applyFill="0" applyAlignment="0" applyProtection="0"/>
    <xf numFmtId="0" fontId="86" fillId="30" borderId="0" applyNumberFormat="0" applyBorder="0" applyAlignment="0" applyProtection="0"/>
    <xf numFmtId="0" fontId="30" fillId="0" borderId="0">
      <alignment/>
      <protection/>
    </xf>
    <xf numFmtId="0" fontId="10" fillId="0" borderId="0">
      <alignment/>
      <protection/>
    </xf>
    <xf numFmtId="0" fontId="28" fillId="0" borderId="0">
      <alignment/>
      <protection/>
    </xf>
    <xf numFmtId="0" fontId="29" fillId="0" borderId="0">
      <alignment/>
      <protection/>
    </xf>
    <xf numFmtId="0" fontId="10" fillId="0" borderId="0">
      <alignment/>
      <protection/>
    </xf>
    <xf numFmtId="0" fontId="8" fillId="0" borderId="0">
      <alignment/>
      <protection/>
    </xf>
    <xf numFmtId="0" fontId="28" fillId="0" borderId="0">
      <alignment/>
      <protection/>
    </xf>
    <xf numFmtId="0" fontId="20" fillId="0" borderId="0">
      <alignment/>
      <protection/>
    </xf>
    <xf numFmtId="0" fontId="10" fillId="0" borderId="0">
      <alignment/>
      <protection/>
    </xf>
    <xf numFmtId="0" fontId="10" fillId="31" borderId="7" applyNumberFormat="0" applyFont="0" applyAlignment="0" applyProtection="0"/>
    <xf numFmtId="0" fontId="87" fillId="26" borderId="8" applyNumberFormat="0" applyAlignment="0" applyProtection="0"/>
    <xf numFmtId="9" fontId="10" fillId="0" borderId="0" applyFont="0" applyFill="0" applyBorder="0" applyAlignment="0" applyProtection="0"/>
    <xf numFmtId="0" fontId="12"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12" fillId="0" borderId="0">
      <alignment/>
      <protection/>
    </xf>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433">
    <xf numFmtId="0" fontId="0" fillId="0" borderId="0" xfId="0" applyFont="1" applyAlignment="1">
      <alignment/>
    </xf>
    <xf numFmtId="0" fontId="3" fillId="0" borderId="0" xfId="0" applyFont="1" applyAlignment="1">
      <alignment horizontal="right"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xf>
    <xf numFmtId="0" fontId="1" fillId="0" borderId="0" xfId="0" applyFont="1" applyAlignment="1">
      <alignment horizontal="justify" vertical="center"/>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10" fillId="0" borderId="0" xfId="0" applyFont="1" applyAlignment="1">
      <alignment/>
    </xf>
    <xf numFmtId="0" fontId="9" fillId="0" borderId="0" xfId="0" applyFont="1" applyAlignment="1">
      <alignment/>
    </xf>
    <xf numFmtId="4" fontId="0" fillId="0" borderId="0" xfId="0" applyNumberFormat="1" applyAlignment="1">
      <alignment/>
    </xf>
    <xf numFmtId="0" fontId="6" fillId="32" borderId="12" xfId="67" applyFont="1" applyFill="1" applyBorder="1" applyAlignment="1">
      <alignment vertical="center" wrapText="1"/>
      <protection/>
    </xf>
    <xf numFmtId="3" fontId="6" fillId="32" borderId="12" xfId="0" applyNumberFormat="1" applyFont="1" applyFill="1" applyBorder="1" applyAlignment="1">
      <alignment horizontal="center"/>
    </xf>
    <xf numFmtId="3" fontId="6" fillId="32" borderId="12" xfId="0" applyNumberFormat="1" applyFont="1" applyFill="1" applyBorder="1" applyAlignment="1">
      <alignment/>
    </xf>
    <xf numFmtId="3" fontId="8" fillId="32" borderId="12" xfId="0" applyNumberFormat="1" applyFont="1" applyFill="1" applyBorder="1" applyAlignment="1">
      <alignment/>
    </xf>
    <xf numFmtId="3" fontId="8" fillId="32" borderId="12" xfId="0" applyNumberFormat="1" applyFont="1" applyFill="1" applyBorder="1" applyAlignment="1">
      <alignment horizontal="left"/>
    </xf>
    <xf numFmtId="3" fontId="8" fillId="32" borderId="12" xfId="0" applyNumberFormat="1" applyFont="1" applyFill="1" applyBorder="1" applyAlignment="1">
      <alignment horizontal="left" vertical="center" wrapText="1"/>
    </xf>
    <xf numFmtId="4" fontId="1" fillId="0" borderId="12" xfId="0" applyNumberFormat="1" applyFont="1" applyBorder="1" applyAlignment="1">
      <alignment horizontal="right" vertical="center" wrapText="1"/>
    </xf>
    <xf numFmtId="4" fontId="2" fillId="0" borderId="12" xfId="0" applyNumberFormat="1" applyFont="1" applyBorder="1" applyAlignment="1">
      <alignment horizontal="right" vertical="center" wrapText="1"/>
    </xf>
    <xf numFmtId="9" fontId="1" fillId="0" borderId="12" xfId="70" applyFont="1" applyBorder="1" applyAlignment="1">
      <alignment horizontal="right" vertical="center" wrapText="1"/>
    </xf>
    <xf numFmtId="4" fontId="2" fillId="0" borderId="13" xfId="0" applyNumberFormat="1" applyFont="1" applyBorder="1" applyAlignment="1">
      <alignment horizontal="right" vertical="center" wrapText="1"/>
    </xf>
    <xf numFmtId="3" fontId="8" fillId="32" borderId="12" xfId="0" applyNumberFormat="1" applyFont="1" applyFill="1" applyBorder="1" applyAlignment="1">
      <alignment/>
    </xf>
    <xf numFmtId="0" fontId="13" fillId="32" borderId="12" xfId="0" applyFont="1" applyFill="1" applyBorder="1" applyAlignment="1">
      <alignment wrapText="1"/>
    </xf>
    <xf numFmtId="3" fontId="8" fillId="32" borderId="12"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2" xfId="0" applyFont="1" applyFill="1" applyBorder="1" applyAlignment="1">
      <alignment vertical="center" wrapText="1"/>
    </xf>
    <xf numFmtId="0" fontId="1" fillId="32" borderId="12" xfId="0" applyFont="1" applyFill="1" applyBorder="1" applyAlignment="1">
      <alignment horizontal="center" vertical="center" wrapText="1"/>
    </xf>
    <xf numFmtId="0" fontId="1" fillId="32" borderId="12" xfId="0" applyFont="1" applyFill="1" applyBorder="1" applyAlignment="1">
      <alignment vertical="center" wrapText="1"/>
    </xf>
    <xf numFmtId="0" fontId="8" fillId="32" borderId="12" xfId="0" applyFont="1" applyFill="1" applyBorder="1" applyAlignment="1">
      <alignment horizontal="center" vertical="center" wrapText="1"/>
    </xf>
    <xf numFmtId="0" fontId="8" fillId="32" borderId="12" xfId="0" applyFont="1" applyFill="1" applyBorder="1" applyAlignment="1">
      <alignment vertical="center" wrapText="1"/>
    </xf>
    <xf numFmtId="0" fontId="6" fillId="32" borderId="12" xfId="0" applyFont="1" applyFill="1" applyBorder="1" applyAlignment="1">
      <alignment horizontal="center" vertical="center" wrapText="1"/>
    </xf>
    <xf numFmtId="0" fontId="6" fillId="32" borderId="12" xfId="0" applyFont="1" applyFill="1" applyBorder="1" applyAlignment="1">
      <alignment vertical="center" wrapText="1"/>
    </xf>
    <xf numFmtId="0" fontId="7" fillId="32" borderId="12" xfId="0" applyFont="1" applyFill="1" applyBorder="1" applyAlignment="1">
      <alignment vertical="center" wrapText="1"/>
    </xf>
    <xf numFmtId="0" fontId="1" fillId="32" borderId="13" xfId="0" applyFont="1" applyFill="1" applyBorder="1" applyAlignment="1">
      <alignment horizontal="center" vertical="center" wrapText="1"/>
    </xf>
    <xf numFmtId="0" fontId="2" fillId="32" borderId="13" xfId="0" applyFont="1" applyFill="1" applyBorder="1" applyAlignment="1">
      <alignment horizontal="center" vertical="center" wrapText="1"/>
    </xf>
    <xf numFmtId="4" fontId="2" fillId="32" borderId="12" xfId="0" applyNumberFormat="1" applyFont="1" applyFill="1" applyBorder="1" applyAlignment="1">
      <alignment horizontal="right" vertical="center" wrapText="1"/>
    </xf>
    <xf numFmtId="4" fontId="1" fillId="32" borderId="12" xfId="0" applyNumberFormat="1" applyFont="1" applyFill="1" applyBorder="1" applyAlignment="1">
      <alignment horizontal="right" vertical="center" wrapText="1"/>
    </xf>
    <xf numFmtId="4" fontId="6" fillId="32" borderId="12" xfId="0" applyNumberFormat="1" applyFont="1" applyFill="1" applyBorder="1" applyAlignment="1">
      <alignment horizontal="right" vertical="center" wrapText="1"/>
    </xf>
    <xf numFmtId="4" fontId="8" fillId="32" borderId="12" xfId="0" applyNumberFormat="1" applyFont="1" applyFill="1" applyBorder="1" applyAlignment="1">
      <alignment horizontal="right" vertical="center" wrapText="1"/>
    </xf>
    <xf numFmtId="4" fontId="2" fillId="32" borderId="13" xfId="0" applyNumberFormat="1" applyFont="1" applyFill="1" applyBorder="1" applyAlignment="1">
      <alignment horizontal="right" vertical="center" wrapText="1"/>
    </xf>
    <xf numFmtId="175" fontId="14" fillId="32" borderId="0" xfId="0" applyNumberFormat="1" applyFont="1" applyFill="1" applyAlignment="1">
      <alignment horizontal="right" vertical="center"/>
    </xf>
    <xf numFmtId="0" fontId="17" fillId="0" borderId="0" xfId="0" applyFont="1" applyAlignment="1">
      <alignment/>
    </xf>
    <xf numFmtId="4" fontId="2" fillId="0" borderId="11" xfId="0" applyNumberFormat="1" applyFont="1" applyBorder="1" applyAlignment="1">
      <alignment horizontal="right" vertical="center" wrapText="1"/>
    </xf>
    <xf numFmtId="9" fontId="2" fillId="0" borderId="11" xfId="70" applyFont="1" applyBorder="1" applyAlignment="1">
      <alignment horizontal="right" vertical="center" wrapText="1"/>
    </xf>
    <xf numFmtId="3" fontId="8" fillId="32" borderId="12" xfId="0" applyNumberFormat="1" applyFont="1" applyFill="1" applyBorder="1" applyAlignment="1">
      <alignment horizontal="center"/>
    </xf>
    <xf numFmtId="4" fontId="1" fillId="32" borderId="12" xfId="66" applyNumberFormat="1" applyFont="1" applyFill="1" applyBorder="1" applyAlignment="1">
      <alignment horizontal="right" vertical="center" wrapText="1"/>
      <protection/>
    </xf>
    <xf numFmtId="3" fontId="2" fillId="32" borderId="14" xfId="0" applyNumberFormat="1" applyFont="1" applyFill="1" applyBorder="1" applyAlignment="1">
      <alignment horizontal="right" vertical="center" wrapText="1"/>
    </xf>
    <xf numFmtId="4" fontId="2" fillId="32" borderId="14" xfId="0" applyNumberFormat="1" applyFont="1" applyFill="1" applyBorder="1" applyAlignment="1">
      <alignment horizontal="right" vertical="center" wrapText="1"/>
    </xf>
    <xf numFmtId="9" fontId="2" fillId="32" borderId="14" xfId="70" applyFont="1" applyFill="1" applyBorder="1" applyAlignment="1">
      <alignment horizontal="right" vertical="center" wrapText="1"/>
    </xf>
    <xf numFmtId="3" fontId="2" fillId="32" borderId="12" xfId="0" applyNumberFormat="1" applyFont="1" applyFill="1" applyBorder="1" applyAlignment="1">
      <alignment horizontal="right" vertical="center" wrapText="1"/>
    </xf>
    <xf numFmtId="9" fontId="2" fillId="32" borderId="12" xfId="70" applyFont="1" applyFill="1" applyBorder="1" applyAlignment="1">
      <alignment horizontal="right" vertical="center" wrapText="1"/>
    </xf>
    <xf numFmtId="3" fontId="1" fillId="32" borderId="12" xfId="0" applyNumberFormat="1" applyFont="1" applyFill="1" applyBorder="1" applyAlignment="1">
      <alignment horizontal="right" vertical="center" wrapText="1"/>
    </xf>
    <xf numFmtId="9" fontId="1" fillId="32" borderId="12" xfId="70" applyFont="1" applyFill="1" applyBorder="1" applyAlignment="1">
      <alignment horizontal="right" vertical="center" wrapText="1"/>
    </xf>
    <xf numFmtId="0" fontId="14" fillId="32" borderId="0" xfId="0" applyFont="1" applyFill="1" applyAlignment="1">
      <alignment/>
    </xf>
    <xf numFmtId="3" fontId="14" fillId="32" borderId="0" xfId="0" applyNumberFormat="1" applyFont="1" applyFill="1" applyAlignment="1">
      <alignment/>
    </xf>
    <xf numFmtId="0" fontId="7" fillId="32" borderId="0" xfId="0" applyFont="1" applyFill="1" applyAlignment="1">
      <alignment horizontal="right" vertical="center"/>
    </xf>
    <xf numFmtId="0" fontId="6" fillId="32" borderId="15" xfId="0" applyFont="1" applyFill="1" applyBorder="1" applyAlignment="1">
      <alignment horizontal="center" vertical="center" wrapText="1"/>
    </xf>
    <xf numFmtId="0" fontId="6" fillId="32" borderId="14" xfId="0" applyFont="1" applyFill="1" applyBorder="1" applyAlignment="1">
      <alignment horizontal="center" vertical="center" wrapText="1"/>
    </xf>
    <xf numFmtId="3" fontId="6" fillId="32" borderId="12" xfId="0" applyNumberFormat="1" applyFont="1" applyFill="1" applyBorder="1" applyAlignment="1">
      <alignment vertical="center" wrapText="1"/>
    </xf>
    <xf numFmtId="4" fontId="6" fillId="32" borderId="12" xfId="0" applyNumberFormat="1" applyFont="1" applyFill="1" applyBorder="1" applyAlignment="1">
      <alignment vertical="center" wrapText="1"/>
    </xf>
    <xf numFmtId="9" fontId="6" fillId="32" borderId="12" xfId="70" applyFont="1" applyFill="1" applyBorder="1" applyAlignment="1">
      <alignment vertical="center" wrapText="1"/>
    </xf>
    <xf numFmtId="3" fontId="8" fillId="32" borderId="12" xfId="0" applyNumberFormat="1" applyFont="1" applyFill="1" applyBorder="1" applyAlignment="1">
      <alignment vertical="center" wrapText="1"/>
    </xf>
    <xf numFmtId="4" fontId="8" fillId="32" borderId="12" xfId="0" applyNumberFormat="1" applyFont="1" applyFill="1" applyBorder="1" applyAlignment="1">
      <alignment vertical="center" wrapText="1"/>
    </xf>
    <xf numFmtId="9" fontId="8" fillId="32" borderId="12" xfId="70" applyFont="1" applyFill="1" applyBorder="1" applyAlignment="1">
      <alignment vertical="center" wrapText="1"/>
    </xf>
    <xf numFmtId="3" fontId="7" fillId="32" borderId="12" xfId="0" applyNumberFormat="1" applyFont="1" applyFill="1" applyBorder="1" applyAlignment="1">
      <alignment vertical="center" wrapText="1"/>
    </xf>
    <xf numFmtId="3" fontId="8" fillId="32" borderId="12" xfId="0" applyNumberFormat="1" applyFont="1" applyFill="1" applyBorder="1" applyAlignment="1">
      <alignment horizontal="left" vertical="center" wrapText="1"/>
    </xf>
    <xf numFmtId="3" fontId="6" fillId="32" borderId="12" xfId="0" applyNumberFormat="1" applyFont="1" applyFill="1" applyBorder="1" applyAlignment="1">
      <alignment horizontal="left" vertical="center" wrapText="1"/>
    </xf>
    <xf numFmtId="3" fontId="8" fillId="32" borderId="12" xfId="0" applyNumberFormat="1" applyFont="1" applyFill="1" applyBorder="1" applyAlignment="1">
      <alignment horizontal="center"/>
    </xf>
    <xf numFmtId="3" fontId="6" fillId="32" borderId="12" xfId="0" applyNumberFormat="1" applyFont="1" applyFill="1" applyBorder="1" applyAlignment="1">
      <alignment horizontal="center" vertical="center" wrapText="1"/>
    </xf>
    <xf numFmtId="3" fontId="6" fillId="32" borderId="12" xfId="0" applyNumberFormat="1" applyFont="1" applyFill="1" applyBorder="1" applyAlignment="1">
      <alignment vertical="center" wrapText="1"/>
    </xf>
    <xf numFmtId="3" fontId="19" fillId="32" borderId="10" xfId="0" applyNumberFormat="1" applyFont="1" applyFill="1" applyBorder="1" applyAlignment="1">
      <alignment horizontal="center" vertical="center" wrapText="1"/>
    </xf>
    <xf numFmtId="3" fontId="18" fillId="32" borderId="0" xfId="0" applyNumberFormat="1" applyFont="1" applyFill="1" applyAlignment="1">
      <alignment/>
    </xf>
    <xf numFmtId="0" fontId="18" fillId="32" borderId="16" xfId="0" applyFont="1" applyFill="1" applyBorder="1" applyAlignment="1">
      <alignment/>
    </xf>
    <xf numFmtId="4" fontId="14" fillId="32" borderId="0" xfId="0" applyNumberFormat="1" applyFont="1" applyFill="1" applyAlignment="1">
      <alignment/>
    </xf>
    <xf numFmtId="9" fontId="6" fillId="32" borderId="12" xfId="70" applyFont="1" applyFill="1" applyBorder="1" applyAlignment="1">
      <alignment horizontal="right" vertical="center" wrapText="1"/>
    </xf>
    <xf numFmtId="9" fontId="8" fillId="32" borderId="12" xfId="70" applyFont="1" applyFill="1" applyBorder="1" applyAlignment="1">
      <alignment horizontal="right" vertical="center" wrapText="1"/>
    </xf>
    <xf numFmtId="4" fontId="8" fillId="32" borderId="17" xfId="0" applyNumberFormat="1" applyFont="1" applyFill="1" applyBorder="1" applyAlignment="1">
      <alignment vertical="center" wrapText="1"/>
    </xf>
    <xf numFmtId="0" fontId="2" fillId="32" borderId="14" xfId="0" applyFont="1" applyFill="1" applyBorder="1" applyAlignment="1">
      <alignment horizontal="center" vertical="center" wrapText="1"/>
    </xf>
    <xf numFmtId="0" fontId="2" fillId="32" borderId="14" xfId="0" applyFont="1" applyFill="1" applyBorder="1" applyAlignment="1">
      <alignment vertical="center" wrapText="1"/>
    </xf>
    <xf numFmtId="0" fontId="5" fillId="32" borderId="10" xfId="0" applyFont="1" applyFill="1" applyBorder="1" applyAlignment="1">
      <alignment horizontal="center" vertical="center" wrapText="1"/>
    </xf>
    <xf numFmtId="3" fontId="6" fillId="32" borderId="12" xfId="0" applyNumberFormat="1" applyFont="1" applyFill="1" applyBorder="1" applyAlignment="1">
      <alignment horizontal="right" vertical="center" wrapText="1"/>
    </xf>
    <xf numFmtId="3" fontId="8" fillId="32" borderId="12" xfId="0" applyNumberFormat="1" applyFont="1" applyFill="1" applyBorder="1" applyAlignment="1">
      <alignment horizontal="right" vertical="center" wrapText="1"/>
    </xf>
    <xf numFmtId="9" fontId="1" fillId="32" borderId="13" xfId="70" applyFont="1" applyFill="1" applyBorder="1" applyAlignment="1">
      <alignment horizontal="right" vertical="center" wrapText="1"/>
    </xf>
    <xf numFmtId="0" fontId="6" fillId="32" borderId="14" xfId="0" applyFont="1" applyFill="1" applyBorder="1" applyAlignment="1">
      <alignment vertical="center" wrapText="1"/>
    </xf>
    <xf numFmtId="3" fontId="6" fillId="32" borderId="14" xfId="0" applyNumberFormat="1" applyFont="1" applyFill="1" applyBorder="1" applyAlignment="1">
      <alignment vertical="center" wrapText="1"/>
    </xf>
    <xf numFmtId="4" fontId="6" fillId="32" borderId="14" xfId="0" applyNumberFormat="1" applyFont="1" applyFill="1" applyBorder="1" applyAlignment="1">
      <alignment vertical="center" wrapText="1"/>
    </xf>
    <xf numFmtId="175" fontId="2" fillId="0" borderId="12" xfId="0" applyNumberFormat="1" applyFont="1" applyBorder="1" applyAlignment="1">
      <alignment horizontal="right" vertical="center" wrapText="1"/>
    </xf>
    <xf numFmtId="4" fontId="8" fillId="32" borderId="12" xfId="66" applyNumberFormat="1" applyFont="1" applyFill="1" applyBorder="1" applyAlignment="1">
      <alignment vertical="center" wrapText="1"/>
      <protection/>
    </xf>
    <xf numFmtId="4" fontId="1" fillId="0" borderId="12" xfId="66" applyNumberFormat="1" applyFont="1" applyBorder="1" applyAlignment="1">
      <alignment horizontal="right" vertical="center" wrapText="1"/>
      <protection/>
    </xf>
    <xf numFmtId="4" fontId="2" fillId="0" borderId="12" xfId="0" applyNumberFormat="1" applyFont="1" applyFill="1" applyBorder="1" applyAlignment="1">
      <alignment horizontal="right" vertical="center" wrapText="1"/>
    </xf>
    <xf numFmtId="4" fontId="2" fillId="0" borderId="12" xfId="66" applyNumberFormat="1" applyFont="1" applyFill="1" applyBorder="1" applyAlignment="1">
      <alignment horizontal="right" vertical="center" wrapText="1"/>
      <protection/>
    </xf>
    <xf numFmtId="4" fontId="1" fillId="0" borderId="12" xfId="0" applyNumberFormat="1" applyFont="1" applyFill="1" applyBorder="1" applyAlignment="1">
      <alignment horizontal="right" vertical="center" wrapText="1"/>
    </xf>
    <xf numFmtId="4" fontId="32" fillId="0" borderId="0" xfId="0" applyNumberFormat="1" applyFont="1" applyAlignment="1">
      <alignment/>
    </xf>
    <xf numFmtId="0" fontId="32" fillId="0" borderId="0" xfId="0" applyFont="1" applyAlignment="1">
      <alignment/>
    </xf>
    <xf numFmtId="0" fontId="33" fillId="0" borderId="0" xfId="0" applyFont="1" applyAlignment="1">
      <alignment/>
    </xf>
    <xf numFmtId="4" fontId="33" fillId="0" borderId="0" xfId="0" applyNumberFormat="1" applyFont="1" applyAlignment="1">
      <alignment/>
    </xf>
    <xf numFmtId="0" fontId="33" fillId="33" borderId="0" xfId="0" applyFont="1" applyFill="1" applyAlignment="1">
      <alignment/>
    </xf>
    <xf numFmtId="175" fontId="0" fillId="0" borderId="0" xfId="0" applyNumberFormat="1" applyAlignment="1">
      <alignment/>
    </xf>
    <xf numFmtId="3" fontId="8" fillId="32" borderId="17" xfId="0" applyNumberFormat="1" applyFont="1" applyFill="1" applyBorder="1" applyAlignment="1">
      <alignment vertical="center" wrapText="1"/>
    </xf>
    <xf numFmtId="9" fontId="8" fillId="32" borderId="17" xfId="70" applyFont="1" applyFill="1" applyBorder="1" applyAlignment="1">
      <alignment vertical="center" wrapText="1"/>
    </xf>
    <xf numFmtId="3" fontId="8" fillId="0" borderId="12" xfId="0" applyNumberFormat="1" applyFont="1" applyFill="1" applyBorder="1" applyAlignment="1">
      <alignment horizontal="left"/>
    </xf>
    <xf numFmtId="3" fontId="8" fillId="0" borderId="12" xfId="0" applyNumberFormat="1" applyFont="1" applyFill="1" applyBorder="1" applyAlignment="1">
      <alignment wrapText="1"/>
    </xf>
    <xf numFmtId="3" fontId="8" fillId="0" borderId="12" xfId="0" applyNumberFormat="1" applyFont="1" applyFill="1" applyBorder="1" applyAlignment="1">
      <alignment horizontal="left" vertical="center" wrapText="1"/>
    </xf>
    <xf numFmtId="178" fontId="8" fillId="0" borderId="12" xfId="0" applyNumberFormat="1" applyFont="1" applyFill="1" applyBorder="1" applyAlignment="1">
      <alignment horizontal="left" vertical="center" wrapText="1"/>
    </xf>
    <xf numFmtId="3" fontId="8" fillId="0" borderId="17" xfId="0" applyNumberFormat="1" applyFont="1" applyFill="1" applyBorder="1" applyAlignment="1">
      <alignment horizontal="left"/>
    </xf>
    <xf numFmtId="0" fontId="13" fillId="0" borderId="12" xfId="0" applyFont="1" applyFill="1" applyBorder="1" applyAlignment="1">
      <alignment vertical="center" wrapText="1"/>
    </xf>
    <xf numFmtId="3" fontId="0" fillId="0" borderId="0" xfId="0" applyNumberFormat="1" applyAlignment="1">
      <alignment/>
    </xf>
    <xf numFmtId="3" fontId="34" fillId="0" borderId="0" xfId="0" applyNumberFormat="1" applyFont="1" applyAlignment="1">
      <alignment/>
    </xf>
    <xf numFmtId="0" fontId="7" fillId="32" borderId="12" xfId="0" applyFont="1" applyFill="1" applyBorder="1" applyAlignment="1">
      <alignment horizontal="center" vertical="center" wrapText="1"/>
    </xf>
    <xf numFmtId="4" fontId="33" fillId="4" borderId="0" xfId="0" applyNumberFormat="1" applyFont="1" applyFill="1" applyAlignment="1">
      <alignment/>
    </xf>
    <xf numFmtId="0" fontId="33" fillId="4" borderId="0" xfId="0" applyFont="1" applyFill="1" applyAlignment="1">
      <alignment/>
    </xf>
    <xf numFmtId="3" fontId="33" fillId="34" borderId="0" xfId="0" applyNumberFormat="1" applyFont="1" applyFill="1" applyAlignment="1">
      <alignment/>
    </xf>
    <xf numFmtId="4" fontId="7" fillId="32" borderId="12" xfId="0" applyNumberFormat="1" applyFont="1" applyFill="1" applyBorder="1" applyAlignment="1">
      <alignment vertical="center" wrapText="1"/>
    </xf>
    <xf numFmtId="0" fontId="35" fillId="32" borderId="0" xfId="0" applyFont="1" applyFill="1" applyAlignment="1">
      <alignment/>
    </xf>
    <xf numFmtId="9" fontId="7" fillId="32" borderId="12" xfId="70" applyFont="1" applyFill="1" applyBorder="1" applyAlignment="1">
      <alignment vertical="center" wrapText="1"/>
    </xf>
    <xf numFmtId="0" fontId="36" fillId="32" borderId="0" xfId="0" applyFont="1" applyFill="1" applyAlignment="1">
      <alignment/>
    </xf>
    <xf numFmtId="0" fontId="14" fillId="32" borderId="18" xfId="0" applyFont="1" applyFill="1" applyBorder="1" applyAlignment="1">
      <alignment/>
    </xf>
    <xf numFmtId="0" fontId="23" fillId="32" borderId="13" xfId="0" applyFont="1" applyFill="1" applyBorder="1" applyAlignment="1">
      <alignment vertical="center" wrapText="1"/>
    </xf>
    <xf numFmtId="175" fontId="18" fillId="32" borderId="0" xfId="0" applyNumberFormat="1" applyFont="1" applyFill="1" applyAlignment="1">
      <alignment/>
    </xf>
    <xf numFmtId="0" fontId="18" fillId="32" borderId="0" xfId="0" applyFont="1" applyFill="1" applyAlignment="1">
      <alignment/>
    </xf>
    <xf numFmtId="0" fontId="21" fillId="0" borderId="0" xfId="66" applyFont="1" applyAlignment="1">
      <alignment vertical="center"/>
      <protection/>
    </xf>
    <xf numFmtId="178" fontId="8" fillId="32" borderId="12" xfId="66" applyNumberFormat="1" applyFont="1" applyFill="1" applyBorder="1" applyAlignment="1">
      <alignment horizontal="right" vertical="center" wrapText="1"/>
      <protection/>
    </xf>
    <xf numFmtId="0" fontId="6" fillId="32" borderId="17" xfId="0" applyFont="1" applyFill="1" applyBorder="1" applyAlignment="1">
      <alignment horizontal="center" vertical="center" wrapText="1"/>
    </xf>
    <xf numFmtId="0" fontId="6" fillId="32" borderId="17" xfId="0" applyFont="1" applyFill="1" applyBorder="1" applyAlignment="1">
      <alignment vertical="center" wrapText="1"/>
    </xf>
    <xf numFmtId="0" fontId="7" fillId="32" borderId="13" xfId="0" applyFont="1" applyFill="1" applyBorder="1" applyAlignment="1">
      <alignment vertical="center" wrapText="1"/>
    </xf>
    <xf numFmtId="4" fontId="6" fillId="32" borderId="17" xfId="0" applyNumberFormat="1" applyFont="1" applyFill="1" applyBorder="1" applyAlignment="1">
      <alignment vertical="center" wrapText="1"/>
    </xf>
    <xf numFmtId="4" fontId="2" fillId="32" borderId="17" xfId="0" applyNumberFormat="1" applyFont="1" applyFill="1" applyBorder="1" applyAlignment="1">
      <alignment/>
    </xf>
    <xf numFmtId="178" fontId="14" fillId="32" borderId="0" xfId="0" applyNumberFormat="1" applyFont="1" applyFill="1" applyAlignment="1">
      <alignment/>
    </xf>
    <xf numFmtId="178" fontId="39" fillId="32" borderId="0" xfId="0" applyNumberFormat="1" applyFont="1" applyFill="1" applyAlignment="1">
      <alignment/>
    </xf>
    <xf numFmtId="0" fontId="39" fillId="32" borderId="0" xfId="0" applyFont="1" applyFill="1" applyAlignment="1">
      <alignment/>
    </xf>
    <xf numFmtId="0" fontId="8" fillId="32" borderId="10" xfId="0" applyFont="1" applyFill="1" applyBorder="1" applyAlignment="1">
      <alignment horizontal="center" vertical="center" wrapText="1"/>
    </xf>
    <xf numFmtId="0" fontId="26" fillId="0" borderId="0" xfId="66" applyFont="1" applyAlignment="1">
      <alignment vertical="center"/>
      <protection/>
    </xf>
    <xf numFmtId="0" fontId="6" fillId="32" borderId="0" xfId="0" applyFont="1" applyFill="1" applyAlignment="1">
      <alignment horizontal="center" vertical="center" wrapText="1"/>
    </xf>
    <xf numFmtId="0" fontId="8" fillId="32" borderId="0" xfId="0" applyFont="1" applyFill="1" applyAlignment="1">
      <alignment/>
    </xf>
    <xf numFmtId="0" fontId="18" fillId="32" borderId="0" xfId="0" applyFont="1" applyFill="1" applyAlignment="1">
      <alignment/>
    </xf>
    <xf numFmtId="0" fontId="19" fillId="32" borderId="0" xfId="0" applyFont="1" applyFill="1" applyAlignment="1">
      <alignment/>
    </xf>
    <xf numFmtId="0" fontId="18" fillId="32" borderId="19" xfId="0" applyFont="1" applyFill="1" applyBorder="1" applyAlignment="1">
      <alignment/>
    </xf>
    <xf numFmtId="0" fontId="13" fillId="32" borderId="16" xfId="0" applyFont="1" applyFill="1" applyBorder="1" applyAlignment="1">
      <alignment/>
    </xf>
    <xf numFmtId="4" fontId="18" fillId="32" borderId="16" xfId="0" applyNumberFormat="1" applyFont="1" applyFill="1" applyBorder="1" applyAlignment="1">
      <alignment/>
    </xf>
    <xf numFmtId="0" fontId="19" fillId="32" borderId="16" xfId="0" applyFont="1" applyFill="1" applyBorder="1" applyAlignment="1">
      <alignment/>
    </xf>
    <xf numFmtId="0" fontId="18" fillId="32" borderId="20" xfId="0" applyFont="1" applyFill="1" applyBorder="1" applyAlignment="1">
      <alignment/>
    </xf>
    <xf numFmtId="175" fontId="8" fillId="32" borderId="0" xfId="0" applyNumberFormat="1" applyFont="1" applyFill="1" applyAlignment="1">
      <alignment/>
    </xf>
    <xf numFmtId="175" fontId="18" fillId="32" borderId="0" xfId="0" applyNumberFormat="1" applyFont="1" applyFill="1" applyAlignment="1">
      <alignment/>
    </xf>
    <xf numFmtId="175" fontId="19" fillId="32" borderId="11" xfId="0" applyNumberFormat="1" applyFont="1" applyFill="1" applyBorder="1" applyAlignment="1">
      <alignment horizontal="right" vertical="center" wrapText="1"/>
    </xf>
    <xf numFmtId="175" fontId="19" fillId="32" borderId="12" xfId="0" applyNumberFormat="1" applyFont="1" applyFill="1" applyBorder="1" applyAlignment="1">
      <alignment horizontal="right" vertical="center" wrapText="1"/>
    </xf>
    <xf numFmtId="175" fontId="18" fillId="32" borderId="19" xfId="0" applyNumberFormat="1" applyFont="1" applyFill="1" applyBorder="1" applyAlignment="1">
      <alignment/>
    </xf>
    <xf numFmtId="175" fontId="18" fillId="32" borderId="16" xfId="0" applyNumberFormat="1" applyFont="1" applyFill="1" applyBorder="1" applyAlignment="1">
      <alignment/>
    </xf>
    <xf numFmtId="175" fontId="13" fillId="32" borderId="16" xfId="0" applyNumberFormat="1" applyFont="1" applyFill="1" applyBorder="1" applyAlignment="1">
      <alignment/>
    </xf>
    <xf numFmtId="175" fontId="19" fillId="32" borderId="12" xfId="42" applyNumberFormat="1" applyFont="1" applyFill="1" applyBorder="1" applyAlignment="1">
      <alignment horizontal="right"/>
    </xf>
    <xf numFmtId="175" fontId="19" fillId="32" borderId="16" xfId="0" applyNumberFormat="1" applyFont="1" applyFill="1" applyBorder="1" applyAlignment="1">
      <alignment/>
    </xf>
    <xf numFmtId="175" fontId="18" fillId="32" borderId="20" xfId="0" applyNumberFormat="1" applyFont="1" applyFill="1" applyBorder="1" applyAlignment="1">
      <alignment/>
    </xf>
    <xf numFmtId="0" fontId="6" fillId="32" borderId="0" xfId="0" applyFont="1" applyFill="1" applyAlignment="1">
      <alignment vertical="center"/>
    </xf>
    <xf numFmtId="0" fontId="6" fillId="32" borderId="10" xfId="0" applyFont="1" applyFill="1" applyBorder="1" applyAlignment="1">
      <alignment horizontal="center" vertical="center" wrapText="1"/>
    </xf>
    <xf numFmtId="178" fontId="8" fillId="32" borderId="12" xfId="66" applyNumberFormat="1" applyFont="1" applyFill="1" applyBorder="1" applyAlignment="1">
      <alignment horizontal="right" vertical="center" wrapText="1"/>
      <protection/>
    </xf>
    <xf numFmtId="4" fontId="8" fillId="32" borderId="12" xfId="66" applyNumberFormat="1" applyFont="1" applyFill="1" applyBorder="1" applyAlignment="1">
      <alignment vertical="center" wrapText="1"/>
      <protection/>
    </xf>
    <xf numFmtId="0" fontId="8" fillId="32" borderId="12" xfId="66" applyFont="1" applyFill="1" applyBorder="1" applyAlignment="1">
      <alignment vertical="center" wrapText="1"/>
      <protection/>
    </xf>
    <xf numFmtId="0" fontId="8" fillId="32" borderId="12" xfId="66" applyFont="1" applyFill="1" applyBorder="1" applyAlignment="1">
      <alignment vertical="center" wrapText="1"/>
      <protection/>
    </xf>
    <xf numFmtId="178" fontId="7" fillId="32" borderId="12" xfId="66" applyNumberFormat="1" applyFont="1" applyFill="1" applyBorder="1" applyAlignment="1">
      <alignment horizontal="right" vertical="center" wrapText="1"/>
      <protection/>
    </xf>
    <xf numFmtId="0" fontId="14" fillId="32" borderId="0" xfId="0" applyFont="1" applyFill="1" applyAlignment="1">
      <alignment horizontal="right"/>
    </xf>
    <xf numFmtId="0" fontId="40" fillId="32" borderId="0" xfId="66" applyFont="1" applyFill="1" applyAlignment="1">
      <alignment horizontal="center" vertical="center"/>
      <protection/>
    </xf>
    <xf numFmtId="0" fontId="36" fillId="32" borderId="0" xfId="0" applyFont="1" applyFill="1" applyAlignment="1">
      <alignment horizontal="center"/>
    </xf>
    <xf numFmtId="4" fontId="36" fillId="32" borderId="0" xfId="0" applyNumberFormat="1" applyFont="1" applyFill="1" applyAlignment="1">
      <alignment horizontal="center"/>
    </xf>
    <xf numFmtId="3" fontId="6" fillId="32" borderId="14" xfId="0" applyNumberFormat="1" applyFont="1" applyFill="1" applyBorder="1" applyAlignment="1">
      <alignment horizontal="center" vertical="center" wrapText="1"/>
    </xf>
    <xf numFmtId="178" fontId="6" fillId="32" borderId="14" xfId="0" applyNumberFormat="1" applyFont="1" applyFill="1" applyBorder="1" applyAlignment="1">
      <alignment horizontal="right" vertical="center" wrapText="1"/>
    </xf>
    <xf numFmtId="179" fontId="6" fillId="32" borderId="14" xfId="0" applyNumberFormat="1" applyFont="1" applyFill="1" applyBorder="1" applyAlignment="1">
      <alignment horizontal="right" vertical="center" wrapText="1"/>
    </xf>
    <xf numFmtId="4" fontId="6" fillId="32" borderId="14" xfId="0" applyNumberFormat="1" applyFont="1" applyFill="1" applyBorder="1" applyAlignment="1">
      <alignment horizontal="right" vertical="center" wrapText="1"/>
    </xf>
    <xf numFmtId="3" fontId="36" fillId="32" borderId="0" xfId="0" applyNumberFormat="1" applyFont="1" applyFill="1" applyAlignment="1">
      <alignment/>
    </xf>
    <xf numFmtId="175" fontId="6" fillId="32" borderId="0" xfId="0" applyNumberFormat="1" applyFont="1" applyFill="1" applyAlignment="1">
      <alignment/>
    </xf>
    <xf numFmtId="3" fontId="6" fillId="32" borderId="12" xfId="0" applyNumberFormat="1" applyFont="1" applyFill="1" applyBorder="1" applyAlignment="1">
      <alignment horizontal="center" vertical="center" wrapText="1"/>
    </xf>
    <xf numFmtId="178" fontId="6" fillId="32" borderId="12" xfId="0" applyNumberFormat="1" applyFont="1" applyFill="1" applyBorder="1" applyAlignment="1">
      <alignment horizontal="right" vertical="center" wrapText="1"/>
    </xf>
    <xf numFmtId="179" fontId="6" fillId="32" borderId="12" xfId="0" applyNumberFormat="1" applyFont="1" applyFill="1" applyBorder="1" applyAlignment="1">
      <alignment horizontal="right" vertical="center" wrapText="1"/>
    </xf>
    <xf numFmtId="178" fontId="8" fillId="32" borderId="12" xfId="0" applyNumberFormat="1" applyFont="1" applyFill="1" applyBorder="1" applyAlignment="1">
      <alignment horizontal="right" vertical="center" wrapText="1"/>
    </xf>
    <xf numFmtId="179" fontId="8" fillId="32" borderId="12" xfId="0" applyNumberFormat="1" applyFont="1" applyFill="1" applyBorder="1" applyAlignment="1">
      <alignment horizontal="right" vertical="center" wrapText="1"/>
    </xf>
    <xf numFmtId="175" fontId="13" fillId="32" borderId="0" xfId="0" applyNumberFormat="1" applyFont="1" applyFill="1" applyAlignment="1">
      <alignment/>
    </xf>
    <xf numFmtId="175" fontId="25" fillId="32" borderId="0" xfId="0" applyNumberFormat="1" applyFont="1" applyFill="1" applyAlignment="1">
      <alignment/>
    </xf>
    <xf numFmtId="175" fontId="14" fillId="32" borderId="0" xfId="0" applyNumberFormat="1" applyFont="1" applyFill="1" applyAlignment="1">
      <alignment/>
    </xf>
    <xf numFmtId="186" fontId="14" fillId="32" borderId="0" xfId="0" applyNumberFormat="1" applyFont="1" applyFill="1" applyAlignment="1">
      <alignment/>
    </xf>
    <xf numFmtId="3" fontId="8" fillId="32" borderId="12" xfId="0" applyNumberFormat="1" applyFont="1" applyFill="1" applyBorder="1" applyAlignment="1" quotePrefix="1">
      <alignment vertical="center" wrapText="1"/>
    </xf>
    <xf numFmtId="178" fontId="7" fillId="32" borderId="12" xfId="66" applyNumberFormat="1" applyFont="1" applyFill="1" applyBorder="1" applyAlignment="1">
      <alignment horizontal="right" vertical="center" wrapText="1"/>
      <protection/>
    </xf>
    <xf numFmtId="4" fontId="7" fillId="32" borderId="12" xfId="0" applyNumberFormat="1" applyFont="1" applyFill="1" applyBorder="1" applyAlignment="1">
      <alignment horizontal="right" vertical="center" wrapText="1"/>
    </xf>
    <xf numFmtId="179" fontId="7" fillId="32" borderId="12" xfId="66" applyNumberFormat="1" applyFont="1" applyFill="1" applyBorder="1" applyAlignment="1">
      <alignment horizontal="right" vertical="center" wrapText="1"/>
      <protection/>
    </xf>
    <xf numFmtId="4" fontId="41" fillId="32" borderId="12" xfId="0" applyNumberFormat="1" applyFont="1" applyFill="1" applyBorder="1" applyAlignment="1">
      <alignment horizontal="right" vertical="center" wrapText="1"/>
    </xf>
    <xf numFmtId="196" fontId="14" fillId="32" borderId="0" xfId="0" applyNumberFormat="1" applyFont="1" applyFill="1" applyAlignment="1">
      <alignment/>
    </xf>
    <xf numFmtId="4" fontId="36" fillId="32" borderId="0" xfId="0" applyNumberFormat="1" applyFont="1" applyFill="1" applyAlignment="1">
      <alignment/>
    </xf>
    <xf numFmtId="3" fontId="6" fillId="32" borderId="13" xfId="0" applyNumberFormat="1" applyFont="1" applyFill="1" applyBorder="1" applyAlignment="1">
      <alignment horizontal="center" vertical="center" wrapText="1"/>
    </xf>
    <xf numFmtId="3" fontId="6" fillId="32" borderId="13" xfId="0" applyNumberFormat="1" applyFont="1" applyFill="1" applyBorder="1" applyAlignment="1">
      <alignment vertical="center" wrapText="1"/>
    </xf>
    <xf numFmtId="178" fontId="6" fillId="32" borderId="13" xfId="0" applyNumberFormat="1" applyFont="1" applyFill="1" applyBorder="1" applyAlignment="1">
      <alignment horizontal="right" vertical="center" wrapText="1"/>
    </xf>
    <xf numFmtId="179" fontId="6" fillId="32" borderId="13" xfId="0" applyNumberFormat="1" applyFont="1" applyFill="1" applyBorder="1" applyAlignment="1">
      <alignment horizontal="right" vertical="center" wrapText="1"/>
    </xf>
    <xf numFmtId="4" fontId="6" fillId="32" borderId="13" xfId="0" applyNumberFormat="1" applyFont="1" applyFill="1" applyBorder="1" applyAlignment="1">
      <alignment horizontal="right" vertical="center" wrapText="1"/>
    </xf>
    <xf numFmtId="0" fontId="8" fillId="32" borderId="0" xfId="0" applyFont="1" applyFill="1" applyAlignment="1">
      <alignment horizontal="left" vertical="center"/>
    </xf>
    <xf numFmtId="9" fontId="8" fillId="32" borderId="13" xfId="70" applyFont="1" applyFill="1" applyBorder="1" applyAlignment="1">
      <alignment horizontal="right" vertical="center" wrapText="1"/>
    </xf>
    <xf numFmtId="3" fontId="8" fillId="32" borderId="12" xfId="0" applyNumberFormat="1" applyFont="1" applyFill="1" applyBorder="1" applyAlignment="1">
      <alignment wrapText="1"/>
    </xf>
    <xf numFmtId="178" fontId="8" fillId="32" borderId="12" xfId="0" applyNumberFormat="1" applyFont="1" applyFill="1" applyBorder="1" applyAlignment="1">
      <alignment horizontal="left" vertical="center" wrapText="1"/>
    </xf>
    <xf numFmtId="3" fontId="8" fillId="32" borderId="17" xfId="0" applyNumberFormat="1" applyFont="1" applyFill="1" applyBorder="1" applyAlignment="1">
      <alignment horizontal="left"/>
    </xf>
    <xf numFmtId="0" fontId="13" fillId="32" borderId="12" xfId="0" applyFont="1" applyFill="1" applyBorder="1" applyAlignment="1">
      <alignment vertical="center" wrapText="1"/>
    </xf>
    <xf numFmtId="0" fontId="7" fillId="32" borderId="0" xfId="66" applyFont="1" applyFill="1" applyAlignment="1">
      <alignment vertical="center"/>
      <protection/>
    </xf>
    <xf numFmtId="178" fontId="40" fillId="32" borderId="0" xfId="66" applyNumberFormat="1" applyFont="1" applyFill="1" applyAlignment="1">
      <alignment vertical="center"/>
      <protection/>
    </xf>
    <xf numFmtId="0" fontId="16" fillId="32" borderId="0" xfId="0" applyFont="1" applyFill="1" applyAlignment="1">
      <alignment/>
    </xf>
    <xf numFmtId="9" fontId="2" fillId="0" borderId="12" xfId="70" applyFont="1" applyBorder="1" applyAlignment="1">
      <alignment horizontal="right" vertical="center" wrapText="1"/>
    </xf>
    <xf numFmtId="0" fontId="0" fillId="32" borderId="0" xfId="0" applyFill="1" applyAlignment="1">
      <alignment/>
    </xf>
    <xf numFmtId="9" fontId="2" fillId="0" borderId="13" xfId="70" applyFont="1" applyBorder="1" applyAlignment="1">
      <alignment horizontal="right" vertical="center" wrapText="1"/>
    </xf>
    <xf numFmtId="0" fontId="43" fillId="32" borderId="0" xfId="0" applyFont="1" applyFill="1" applyAlignment="1">
      <alignment vertical="center"/>
    </xf>
    <xf numFmtId="3" fontId="43" fillId="32" borderId="0" xfId="0" applyNumberFormat="1" applyFont="1" applyFill="1" applyAlignment="1">
      <alignment horizontal="right" vertical="center"/>
    </xf>
    <xf numFmtId="3" fontId="14" fillId="32" borderId="0" xfId="0" applyNumberFormat="1" applyFont="1" applyFill="1" applyAlignment="1">
      <alignment horizontal="right" vertical="center"/>
    </xf>
    <xf numFmtId="175" fontId="43" fillId="32" borderId="0" xfId="0" applyNumberFormat="1" applyFont="1" applyFill="1" applyAlignment="1">
      <alignment horizontal="right" vertical="center"/>
    </xf>
    <xf numFmtId="9" fontId="43" fillId="32" borderId="0" xfId="0" applyNumberFormat="1" applyFont="1" applyFill="1" applyAlignment="1">
      <alignment horizontal="right" vertical="center"/>
    </xf>
    <xf numFmtId="0" fontId="40" fillId="0" borderId="0" xfId="66" applyFont="1" applyAlignment="1">
      <alignment vertical="center"/>
      <protection/>
    </xf>
    <xf numFmtId="0" fontId="43" fillId="32" borderId="0" xfId="0" applyFont="1" applyFill="1" applyAlignment="1">
      <alignment horizontal="center" vertical="center"/>
    </xf>
    <xf numFmtId="0" fontId="45" fillId="32" borderId="0" xfId="0" applyFont="1" applyFill="1" applyAlignment="1">
      <alignment vertical="center"/>
    </xf>
    <xf numFmtId="0" fontId="46" fillId="32" borderId="0" xfId="0" applyFont="1" applyFill="1" applyAlignment="1">
      <alignment vertical="center"/>
    </xf>
    <xf numFmtId="0" fontId="23" fillId="32" borderId="0" xfId="0" applyFont="1" applyFill="1" applyAlignment="1">
      <alignment horizontal="left" vertical="center"/>
    </xf>
    <xf numFmtId="9" fontId="14" fillId="32" borderId="0" xfId="0" applyNumberFormat="1" applyFont="1" applyFill="1" applyAlignment="1">
      <alignment horizontal="right" vertical="center"/>
    </xf>
    <xf numFmtId="0" fontId="7" fillId="32" borderId="0" xfId="0" applyFont="1" applyFill="1" applyAlignment="1">
      <alignment horizontal="left" vertical="center"/>
    </xf>
    <xf numFmtId="0" fontId="14" fillId="32" borderId="0" xfId="0" applyFont="1" applyFill="1" applyAlignment="1">
      <alignment vertical="center"/>
    </xf>
    <xf numFmtId="0" fontId="43" fillId="32" borderId="0" xfId="0" applyFont="1" applyFill="1" applyAlignment="1">
      <alignment horizontal="left" vertical="center"/>
    </xf>
    <xf numFmtId="0" fontId="14" fillId="0" borderId="0" xfId="0" applyFont="1" applyAlignment="1">
      <alignment/>
    </xf>
    <xf numFmtId="0" fontId="18" fillId="0" borderId="10" xfId="0" applyFont="1" applyBorder="1" applyAlignment="1">
      <alignment horizontal="center" vertical="center" wrapText="1"/>
    </xf>
    <xf numFmtId="0" fontId="47" fillId="0" borderId="0" xfId="0" applyFont="1" applyAlignment="1">
      <alignment/>
    </xf>
    <xf numFmtId="0" fontId="36" fillId="0" borderId="0" xfId="0" applyFont="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xf>
    <xf numFmtId="0" fontId="14" fillId="0" borderId="17" xfId="0" applyFont="1" applyBorder="1" applyAlignment="1">
      <alignment/>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4" fillId="0" borderId="0" xfId="0" applyFont="1" applyBorder="1" applyAlignment="1">
      <alignment/>
    </xf>
    <xf numFmtId="0" fontId="23" fillId="0" borderId="0" xfId="0" applyFont="1" applyBorder="1" applyAlignment="1">
      <alignment vertical="center"/>
    </xf>
    <xf numFmtId="4" fontId="14" fillId="0" borderId="0" xfId="0" applyNumberFormat="1" applyFont="1" applyBorder="1" applyAlignment="1">
      <alignment/>
    </xf>
    <xf numFmtId="2" fontId="14" fillId="0" borderId="0" xfId="0" applyNumberFormat="1" applyFont="1" applyBorder="1" applyAlignment="1">
      <alignment/>
    </xf>
    <xf numFmtId="4" fontId="25" fillId="0" borderId="0" xfId="0" applyNumberFormat="1" applyFont="1" applyBorder="1" applyAlignment="1">
      <alignment/>
    </xf>
    <xf numFmtId="4" fontId="14" fillId="0" borderId="0" xfId="0" applyNumberFormat="1" applyFont="1" applyAlignment="1">
      <alignment/>
    </xf>
    <xf numFmtId="175" fontId="6" fillId="0" borderId="0" xfId="0" applyNumberFormat="1" applyFont="1" applyAlignment="1">
      <alignment/>
    </xf>
    <xf numFmtId="175" fontId="14" fillId="0" borderId="0" xfId="0" applyNumberFormat="1" applyFont="1" applyAlignment="1">
      <alignment/>
    </xf>
    <xf numFmtId="3" fontId="48" fillId="32" borderId="0" xfId="0" applyNumberFormat="1" applyFont="1" applyFill="1" applyBorder="1" applyAlignment="1">
      <alignment/>
    </xf>
    <xf numFmtId="9" fontId="6" fillId="32" borderId="14" xfId="70" applyFont="1" applyFill="1" applyBorder="1" applyAlignment="1">
      <alignment vertical="center" wrapText="1"/>
    </xf>
    <xf numFmtId="178" fontId="6" fillId="32" borderId="12" xfId="66" applyNumberFormat="1" applyFont="1" applyFill="1" applyBorder="1" applyAlignment="1">
      <alignment horizontal="right" vertical="center" wrapText="1"/>
      <protection/>
    </xf>
    <xf numFmtId="179" fontId="6" fillId="32" borderId="12" xfId="66" applyNumberFormat="1" applyFont="1" applyFill="1" applyBorder="1" applyAlignment="1">
      <alignment horizontal="right" vertical="center" wrapText="1"/>
      <protection/>
    </xf>
    <xf numFmtId="4" fontId="6" fillId="32" borderId="12" xfId="0" applyNumberFormat="1" applyFont="1" applyFill="1" applyBorder="1" applyAlignment="1">
      <alignment/>
    </xf>
    <xf numFmtId="0" fontId="8" fillId="32" borderId="0" xfId="0" applyFont="1" applyFill="1" applyBorder="1" applyAlignment="1">
      <alignment vertical="center" wrapText="1"/>
    </xf>
    <xf numFmtId="0" fontId="14" fillId="32" borderId="0" xfId="0" applyFont="1" applyFill="1" applyBorder="1" applyAlignment="1">
      <alignment/>
    </xf>
    <xf numFmtId="3" fontId="2" fillId="0" borderId="12"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2" fillId="0" borderId="12"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49" fillId="32" borderId="10" xfId="0" applyFont="1" applyFill="1" applyBorder="1" applyAlignment="1">
      <alignment horizontal="center" vertical="center" wrapText="1"/>
    </xf>
    <xf numFmtId="0" fontId="49" fillId="32" borderId="21" xfId="0" applyFont="1" applyFill="1" applyBorder="1" applyAlignment="1">
      <alignment horizontal="center" vertical="center" wrapText="1"/>
    </xf>
    <xf numFmtId="3" fontId="49" fillId="32" borderId="10" xfId="0" applyNumberFormat="1" applyFont="1" applyFill="1" applyBorder="1" applyAlignment="1">
      <alignment horizontal="center" vertical="center" wrapText="1"/>
    </xf>
    <xf numFmtId="0" fontId="49" fillId="32" borderId="15" xfId="0" applyFont="1" applyFill="1" applyBorder="1" applyAlignment="1">
      <alignment horizontal="center" vertical="center" wrapText="1"/>
    </xf>
    <xf numFmtId="0" fontId="49" fillId="32" borderId="15" xfId="0" applyFont="1" applyFill="1" applyBorder="1" applyAlignment="1">
      <alignment vertical="center" wrapText="1"/>
    </xf>
    <xf numFmtId="0" fontId="49" fillId="32" borderId="10" xfId="0" applyFont="1" applyFill="1" applyBorder="1" applyAlignment="1">
      <alignment vertical="center" wrapText="1"/>
    </xf>
    <xf numFmtId="0" fontId="49" fillId="32" borderId="11" xfId="0" applyFont="1" applyFill="1" applyBorder="1" applyAlignment="1">
      <alignment horizontal="center" vertical="center" wrapText="1"/>
    </xf>
    <xf numFmtId="4" fontId="49" fillId="32" borderId="11" xfId="0" applyNumberFormat="1" applyFont="1" applyFill="1" applyBorder="1" applyAlignment="1">
      <alignment vertical="center" wrapText="1"/>
    </xf>
    <xf numFmtId="3" fontId="49" fillId="32" borderId="11" xfId="0" applyNumberFormat="1" applyFont="1" applyFill="1" applyBorder="1" applyAlignment="1">
      <alignment vertical="center" wrapText="1"/>
    </xf>
    <xf numFmtId="175" fontId="49" fillId="32" borderId="11" xfId="0" applyNumberFormat="1" applyFont="1" applyFill="1" applyBorder="1" applyAlignment="1">
      <alignment vertical="center" wrapText="1"/>
    </xf>
    <xf numFmtId="9" fontId="49" fillId="32" borderId="12" xfId="70" applyFont="1" applyFill="1" applyBorder="1" applyAlignment="1">
      <alignment/>
    </xf>
    <xf numFmtId="9" fontId="49" fillId="32" borderId="11" xfId="70" applyFont="1" applyFill="1" applyBorder="1" applyAlignment="1">
      <alignment horizontal="center" vertical="center" wrapText="1"/>
    </xf>
    <xf numFmtId="0" fontId="49" fillId="32" borderId="12" xfId="0" applyFont="1" applyFill="1" applyBorder="1" applyAlignment="1">
      <alignment horizontal="center" vertical="center" wrapText="1"/>
    </xf>
    <xf numFmtId="0" fontId="49" fillId="32" borderId="12" xfId="0" applyFont="1" applyFill="1" applyBorder="1" applyAlignment="1">
      <alignment horizontal="left" vertical="center" wrapText="1"/>
    </xf>
    <xf numFmtId="4" fontId="49" fillId="32" borderId="12" xfId="0" applyNumberFormat="1" applyFont="1" applyFill="1" applyBorder="1" applyAlignment="1">
      <alignment vertical="center" wrapText="1"/>
    </xf>
    <xf numFmtId="3" fontId="49" fillId="32" borderId="12" xfId="0" applyNumberFormat="1" applyFont="1" applyFill="1" applyBorder="1" applyAlignment="1">
      <alignment vertical="center" wrapText="1"/>
    </xf>
    <xf numFmtId="175" fontId="49" fillId="32" borderId="12" xfId="0" applyNumberFormat="1" applyFont="1" applyFill="1" applyBorder="1" applyAlignment="1">
      <alignment vertical="center" wrapText="1"/>
    </xf>
    <xf numFmtId="9" fontId="49" fillId="32" borderId="12" xfId="70" applyFont="1" applyFill="1" applyBorder="1" applyAlignment="1">
      <alignment horizontal="center" vertical="center" wrapText="1"/>
    </xf>
    <xf numFmtId="0" fontId="48" fillId="32" borderId="12" xfId="0" applyFont="1" applyFill="1" applyBorder="1" applyAlignment="1">
      <alignment horizontal="center" vertical="center" wrapText="1"/>
    </xf>
    <xf numFmtId="0" fontId="48" fillId="32" borderId="12" xfId="0" applyFont="1" applyFill="1" applyBorder="1" applyAlignment="1">
      <alignment horizontal="left" vertical="center" wrapText="1"/>
    </xf>
    <xf numFmtId="4" fontId="48" fillId="32" borderId="12" xfId="0" applyNumberFormat="1" applyFont="1" applyFill="1" applyBorder="1" applyAlignment="1">
      <alignment vertical="center" wrapText="1"/>
    </xf>
    <xf numFmtId="3" fontId="48" fillId="32" borderId="12" xfId="0" applyNumberFormat="1" applyFont="1" applyFill="1" applyBorder="1" applyAlignment="1">
      <alignment vertical="center" wrapText="1"/>
    </xf>
    <xf numFmtId="3" fontId="48" fillId="32" borderId="12" xfId="42" applyNumberFormat="1" applyFont="1" applyFill="1" applyBorder="1" applyAlignment="1">
      <alignment/>
    </xf>
    <xf numFmtId="175" fontId="48" fillId="32" borderId="12" xfId="0" applyNumberFormat="1" applyFont="1" applyFill="1" applyBorder="1" applyAlignment="1">
      <alignment vertical="center" wrapText="1"/>
    </xf>
    <xf numFmtId="9" fontId="48" fillId="32" borderId="12" xfId="70" applyFont="1" applyFill="1" applyBorder="1" applyAlignment="1">
      <alignment/>
    </xf>
    <xf numFmtId="175" fontId="48" fillId="32" borderId="12" xfId="0" applyNumberFormat="1" applyFont="1" applyFill="1" applyBorder="1" applyAlignment="1">
      <alignment horizontal="center" vertical="center" wrapText="1"/>
    </xf>
    <xf numFmtId="9" fontId="48" fillId="32" borderId="12" xfId="70" applyFont="1" applyFill="1" applyBorder="1" applyAlignment="1">
      <alignment horizontal="center" vertical="center" wrapText="1"/>
    </xf>
    <xf numFmtId="4" fontId="48" fillId="32" borderId="12" xfId="42" applyNumberFormat="1" applyFont="1" applyFill="1" applyBorder="1" applyAlignment="1">
      <alignment/>
    </xf>
    <xf numFmtId="175" fontId="48" fillId="32" borderId="12" xfId="42" applyNumberFormat="1" applyFont="1" applyFill="1" applyBorder="1" applyAlignment="1">
      <alignment/>
    </xf>
    <xf numFmtId="9" fontId="48" fillId="32" borderId="12" xfId="70" applyFont="1" applyFill="1" applyBorder="1" applyAlignment="1">
      <alignment/>
    </xf>
    <xf numFmtId="0" fontId="48" fillId="32" borderId="12" xfId="0" applyFont="1" applyFill="1" applyBorder="1" applyAlignment="1">
      <alignment vertical="center" wrapText="1"/>
    </xf>
    <xf numFmtId="3" fontId="48" fillId="32" borderId="12" xfId="0" applyNumberFormat="1" applyFont="1" applyFill="1" applyBorder="1" applyAlignment="1">
      <alignment/>
    </xf>
    <xf numFmtId="4" fontId="49" fillId="32" borderId="12" xfId="42" applyNumberFormat="1" applyFont="1" applyFill="1" applyBorder="1" applyAlignment="1">
      <alignment/>
    </xf>
    <xf numFmtId="3" fontId="49" fillId="32" borderId="12" xfId="42" applyNumberFormat="1" applyFont="1" applyFill="1" applyBorder="1" applyAlignment="1">
      <alignment/>
    </xf>
    <xf numFmtId="175" fontId="49" fillId="32" borderId="12" xfId="42" applyNumberFormat="1" applyFont="1" applyFill="1" applyBorder="1" applyAlignment="1">
      <alignment/>
    </xf>
    <xf numFmtId="9" fontId="49" fillId="32" borderId="12" xfId="70" applyFont="1" applyFill="1" applyBorder="1" applyAlignment="1">
      <alignment/>
    </xf>
    <xf numFmtId="0" fontId="48" fillId="32" borderId="12" xfId="0" applyFont="1" applyFill="1" applyBorder="1" applyAlignment="1">
      <alignment horizontal="center" vertical="center"/>
    </xf>
    <xf numFmtId="0" fontId="48" fillId="32" borderId="12" xfId="0" applyFont="1" applyFill="1" applyBorder="1" applyAlignment="1">
      <alignment vertical="center"/>
    </xf>
    <xf numFmtId="0" fontId="48" fillId="32" borderId="13" xfId="0" applyFont="1" applyFill="1" applyBorder="1" applyAlignment="1">
      <alignment horizontal="center" vertical="center" wrapText="1"/>
    </xf>
    <xf numFmtId="0" fontId="48" fillId="32" borderId="13" xfId="0" applyFont="1" applyFill="1" applyBorder="1" applyAlignment="1">
      <alignment wrapText="1"/>
    </xf>
    <xf numFmtId="175" fontId="48" fillId="32" borderId="13" xfId="42" applyNumberFormat="1" applyFont="1" applyFill="1" applyBorder="1" applyAlignment="1">
      <alignment/>
    </xf>
    <xf numFmtId="3" fontId="48" fillId="32" borderId="13" xfId="42" applyNumberFormat="1" applyFont="1" applyFill="1" applyBorder="1" applyAlignment="1">
      <alignment/>
    </xf>
    <xf numFmtId="4" fontId="48" fillId="32" borderId="13" xfId="42" applyNumberFormat="1" applyFont="1" applyFill="1" applyBorder="1" applyAlignment="1">
      <alignment/>
    </xf>
    <xf numFmtId="9" fontId="48" fillId="32" borderId="13" xfId="70" applyFont="1" applyFill="1" applyBorder="1" applyAlignment="1">
      <alignment/>
    </xf>
    <xf numFmtId="9" fontId="48" fillId="32" borderId="13" xfId="70" applyFont="1" applyFill="1" applyBorder="1" applyAlignment="1">
      <alignment/>
    </xf>
    <xf numFmtId="0" fontId="48" fillId="32" borderId="0" xfId="0" applyFont="1" applyFill="1" applyAlignment="1">
      <alignment/>
    </xf>
    <xf numFmtId="3" fontId="48" fillId="32" borderId="0" xfId="0" applyNumberFormat="1" applyFont="1" applyFill="1" applyAlignment="1">
      <alignment/>
    </xf>
    <xf numFmtId="0" fontId="49" fillId="32" borderId="12" xfId="0" applyFont="1" applyFill="1" applyBorder="1" applyAlignment="1">
      <alignment vertical="center" wrapText="1"/>
    </xf>
    <xf numFmtId="3" fontId="48" fillId="32" borderId="12" xfId="42" applyNumberFormat="1" applyFont="1" applyFill="1" applyBorder="1" applyAlignment="1">
      <alignment vertical="center"/>
    </xf>
    <xf numFmtId="175" fontId="19" fillId="32" borderId="10" xfId="0" applyNumberFormat="1" applyFont="1" applyFill="1" applyBorder="1" applyAlignment="1">
      <alignment horizontal="center" vertical="center" wrapText="1"/>
    </xf>
    <xf numFmtId="9" fontId="19" fillId="32" borderId="10" xfId="0" applyNumberFormat="1" applyFont="1" applyFill="1" applyBorder="1" applyAlignment="1">
      <alignment horizontal="center" vertical="center" wrapText="1"/>
    </xf>
    <xf numFmtId="0" fontId="18" fillId="32" borderId="12" xfId="0" applyFont="1" applyFill="1" applyBorder="1" applyAlignment="1">
      <alignment vertical="center"/>
    </xf>
    <xf numFmtId="0" fontId="51" fillId="32" borderId="12" xfId="0" applyFont="1" applyFill="1" applyBorder="1" applyAlignment="1">
      <alignment vertical="center"/>
    </xf>
    <xf numFmtId="0" fontId="52" fillId="32" borderId="11" xfId="0" applyFont="1" applyFill="1" applyBorder="1" applyAlignment="1">
      <alignment vertical="center" wrapText="1"/>
    </xf>
    <xf numFmtId="3" fontId="52" fillId="32" borderId="11" xfId="0" applyNumberFormat="1" applyFont="1" applyFill="1" applyBorder="1" applyAlignment="1">
      <alignment vertical="center" wrapText="1"/>
    </xf>
    <xf numFmtId="4" fontId="52" fillId="32" borderId="11" xfId="0" applyNumberFormat="1" applyFont="1" applyFill="1" applyBorder="1" applyAlignment="1">
      <alignment vertical="center" wrapText="1"/>
    </xf>
    <xf numFmtId="9" fontId="52" fillId="32" borderId="11" xfId="0" applyNumberFormat="1" applyFont="1" applyFill="1" applyBorder="1" applyAlignment="1">
      <alignment vertical="center" wrapText="1"/>
    </xf>
    <xf numFmtId="0" fontId="53" fillId="32" borderId="12" xfId="0" applyFont="1" applyFill="1" applyBorder="1" applyAlignment="1">
      <alignment vertical="center"/>
    </xf>
    <xf numFmtId="3" fontId="53" fillId="32" borderId="12" xfId="0" applyNumberFormat="1" applyFont="1" applyFill="1" applyBorder="1" applyAlignment="1">
      <alignment vertical="center" wrapText="1"/>
    </xf>
    <xf numFmtId="4" fontId="53" fillId="32" borderId="12" xfId="0" applyNumberFormat="1" applyFont="1" applyFill="1" applyBorder="1" applyAlignment="1">
      <alignment vertical="center" wrapText="1"/>
    </xf>
    <xf numFmtId="9" fontId="53" fillId="32" borderId="12" xfId="0" applyNumberFormat="1" applyFont="1" applyFill="1" applyBorder="1" applyAlignment="1">
      <alignment vertical="center" wrapText="1"/>
    </xf>
    <xf numFmtId="0" fontId="53" fillId="32" borderId="13" xfId="0" applyFont="1" applyFill="1" applyBorder="1" applyAlignment="1">
      <alignment horizontal="center" vertical="center" wrapText="1"/>
    </xf>
    <xf numFmtId="0" fontId="53" fillId="32" borderId="13" xfId="0" applyFont="1" applyFill="1" applyBorder="1" applyAlignment="1">
      <alignment vertical="center" wrapText="1"/>
    </xf>
    <xf numFmtId="3" fontId="53" fillId="32" borderId="13" xfId="0" applyNumberFormat="1" applyFont="1" applyFill="1" applyBorder="1" applyAlignment="1">
      <alignment horizontal="right" vertical="center" wrapText="1"/>
    </xf>
    <xf numFmtId="175" fontId="53" fillId="32" borderId="13" xfId="0" applyNumberFormat="1" applyFont="1" applyFill="1" applyBorder="1" applyAlignment="1">
      <alignment horizontal="right" vertical="center" wrapText="1"/>
    </xf>
    <xf numFmtId="9" fontId="53" fillId="32" borderId="13" xfId="0" applyNumberFormat="1" applyFont="1" applyFill="1" applyBorder="1" applyAlignment="1">
      <alignment horizontal="right" vertical="center" wrapText="1"/>
    </xf>
    <xf numFmtId="9" fontId="49" fillId="32" borderId="10" xfId="0" applyNumberFormat="1" applyFont="1" applyFill="1" applyBorder="1" applyAlignment="1">
      <alignment horizontal="center" vertical="center" wrapText="1"/>
    </xf>
    <xf numFmtId="0" fontId="53" fillId="32" borderId="12" xfId="0" applyFont="1" applyFill="1" applyBorder="1" applyAlignment="1">
      <alignment vertical="center" wrapText="1"/>
    </xf>
    <xf numFmtId="0" fontId="19"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32" borderId="10" xfId="0" applyFont="1" applyFill="1" applyBorder="1" applyAlignment="1">
      <alignment horizontal="center" vertical="center" wrapText="1"/>
    </xf>
    <xf numFmtId="0" fontId="50" fillId="0" borderId="11" xfId="0" applyFont="1" applyBorder="1" applyAlignment="1">
      <alignment vertical="center" wrapText="1"/>
    </xf>
    <xf numFmtId="3" fontId="50" fillId="0" borderId="11" xfId="0" applyNumberFormat="1" applyFont="1" applyBorder="1" applyAlignment="1">
      <alignment vertical="center" wrapText="1"/>
    </xf>
    <xf numFmtId="4" fontId="50" fillId="0" borderId="11" xfId="0" applyNumberFormat="1" applyFont="1" applyBorder="1" applyAlignment="1">
      <alignment horizontal="right" vertical="center" wrapText="1"/>
    </xf>
    <xf numFmtId="9" fontId="50" fillId="0" borderId="12" xfId="70" applyFont="1" applyBorder="1" applyAlignment="1">
      <alignment horizontal="right" vertical="center" wrapText="1"/>
    </xf>
    <xf numFmtId="9" fontId="50" fillId="0" borderId="11" xfId="70" applyFont="1" applyBorder="1" applyAlignment="1">
      <alignment horizontal="right" vertical="center" wrapText="1"/>
    </xf>
    <xf numFmtId="9" fontId="50" fillId="32" borderId="11" xfId="70" applyFont="1" applyFill="1" applyBorder="1" applyAlignment="1">
      <alignment horizontal="right" vertical="center" wrapText="1"/>
    </xf>
    <xf numFmtId="3" fontId="51" fillId="0" borderId="12" xfId="0" applyNumberFormat="1" applyFont="1" applyBorder="1" applyAlignment="1">
      <alignment vertical="center" wrapText="1"/>
    </xf>
    <xf numFmtId="4" fontId="51" fillId="0" borderId="12" xfId="0" applyNumberFormat="1" applyFont="1" applyBorder="1" applyAlignment="1">
      <alignment horizontal="right" vertical="center" wrapText="1"/>
    </xf>
    <xf numFmtId="9" fontId="51" fillId="0" borderId="12" xfId="70" applyFont="1" applyBorder="1" applyAlignment="1">
      <alignment horizontal="right" vertical="center" wrapText="1"/>
    </xf>
    <xf numFmtId="9" fontId="51" fillId="32" borderId="12" xfId="70" applyFont="1" applyFill="1" applyBorder="1" applyAlignment="1">
      <alignment horizontal="right" vertical="center" wrapText="1"/>
    </xf>
    <xf numFmtId="175" fontId="51" fillId="0" borderId="12" xfId="0" applyNumberFormat="1" applyFont="1" applyBorder="1" applyAlignment="1">
      <alignment horizontal="right" vertical="center" wrapText="1"/>
    </xf>
    <xf numFmtId="0" fontId="51" fillId="0" borderId="13" xfId="0" applyFont="1" applyBorder="1" applyAlignment="1">
      <alignment horizontal="center" vertical="center" wrapText="1"/>
    </xf>
    <xf numFmtId="0" fontId="51" fillId="0" borderId="13" xfId="0" applyFont="1" applyBorder="1" applyAlignment="1">
      <alignment vertical="center" wrapText="1"/>
    </xf>
    <xf numFmtId="3" fontId="51" fillId="0" borderId="13" xfId="0" applyNumberFormat="1" applyFont="1" applyBorder="1" applyAlignment="1">
      <alignment vertical="center" wrapText="1"/>
    </xf>
    <xf numFmtId="0" fontId="51" fillId="0" borderId="13" xfId="0" applyFont="1" applyBorder="1" applyAlignment="1">
      <alignment horizontal="right" vertical="center" wrapText="1"/>
    </xf>
    <xf numFmtId="0" fontId="51" fillId="32" borderId="13" xfId="0" applyFont="1" applyFill="1" applyBorder="1" applyAlignment="1">
      <alignment horizontal="right"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3" fontId="54" fillId="0" borderId="11" xfId="0" applyNumberFormat="1" applyFont="1" applyBorder="1" applyAlignment="1">
      <alignment horizontal="right" vertical="center" wrapText="1"/>
    </xf>
    <xf numFmtId="4" fontId="54" fillId="0" borderId="11" xfId="0" applyNumberFormat="1" applyFont="1" applyBorder="1" applyAlignment="1">
      <alignment horizontal="right" vertical="center" wrapText="1"/>
    </xf>
    <xf numFmtId="9" fontId="54" fillId="0" borderId="11" xfId="7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Border="1" applyAlignment="1">
      <alignment vertical="center" wrapText="1"/>
    </xf>
    <xf numFmtId="3" fontId="54" fillId="0" borderId="12" xfId="0" applyNumberFormat="1" applyFont="1" applyBorder="1" applyAlignment="1">
      <alignment horizontal="right" vertical="center" wrapText="1"/>
    </xf>
    <xf numFmtId="4" fontId="54" fillId="0" borderId="12" xfId="0" applyNumberFormat="1" applyFont="1" applyBorder="1" applyAlignment="1">
      <alignment horizontal="right" vertical="center" wrapText="1"/>
    </xf>
    <xf numFmtId="9" fontId="54" fillId="0" borderId="12" xfId="70" applyFont="1" applyBorder="1" applyAlignment="1">
      <alignment horizontal="center" vertical="center" wrapText="1"/>
    </xf>
    <xf numFmtId="0" fontId="5" fillId="0" borderId="12" xfId="0" applyFont="1" applyBorder="1" applyAlignment="1">
      <alignment horizontal="center" vertical="center" wrapText="1"/>
    </xf>
    <xf numFmtId="0" fontId="18" fillId="0" borderId="12" xfId="0" applyFont="1" applyFill="1" applyBorder="1" applyAlignment="1">
      <alignment wrapText="1"/>
    </xf>
    <xf numFmtId="3" fontId="5" fillId="0" borderId="12" xfId="0" applyNumberFormat="1" applyFont="1" applyBorder="1" applyAlignment="1">
      <alignment horizontal="right" vertical="center" wrapText="1"/>
    </xf>
    <xf numFmtId="4" fontId="5" fillId="0" borderId="12" xfId="0" applyNumberFormat="1" applyFont="1" applyBorder="1" applyAlignment="1">
      <alignment horizontal="right" vertical="center" wrapText="1"/>
    </xf>
    <xf numFmtId="9" fontId="5" fillId="0" borderId="12" xfId="70" applyFont="1" applyBorder="1" applyAlignment="1">
      <alignment horizontal="center" vertical="center" wrapText="1"/>
    </xf>
    <xf numFmtId="4" fontId="55" fillId="0" borderId="12" xfId="42" applyNumberFormat="1" applyFont="1" applyFill="1" applyBorder="1" applyAlignment="1">
      <alignment/>
    </xf>
    <xf numFmtId="0" fontId="56" fillId="0" borderId="12" xfId="0" applyFont="1" applyFill="1" applyBorder="1" applyAlignment="1">
      <alignment wrapText="1"/>
    </xf>
    <xf numFmtId="0" fontId="18" fillId="32" borderId="12" xfId="0" applyFont="1" applyFill="1" applyBorder="1" applyAlignment="1">
      <alignment horizontal="center" vertical="center"/>
    </xf>
    <xf numFmtId="4" fontId="18" fillId="32" borderId="12" xfId="0" applyNumberFormat="1" applyFont="1" applyFill="1" applyBorder="1" applyAlignment="1">
      <alignment horizontal="righ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2" fillId="0" borderId="0" xfId="0" applyFont="1" applyAlignment="1">
      <alignment horizontal="center" vertical="center"/>
    </xf>
    <xf numFmtId="0" fontId="15" fillId="0" borderId="0" xfId="0" applyFont="1" applyAlignment="1">
      <alignment horizontal="center" vertical="center" wrapText="1"/>
    </xf>
    <xf numFmtId="0" fontId="3" fillId="0" borderId="0" xfId="66" applyFont="1" applyAlignment="1">
      <alignment horizontal="center" vertical="center"/>
      <protection/>
    </xf>
    <xf numFmtId="0" fontId="4" fillId="0" borderId="22" xfId="0" applyFont="1" applyBorder="1" applyAlignment="1">
      <alignment horizontal="left" vertical="center" wrapText="1"/>
    </xf>
    <xf numFmtId="0" fontId="2" fillId="0" borderId="10" xfId="0" applyFont="1" applyBorder="1" applyAlignment="1">
      <alignment horizontal="center" vertical="center" wrapText="1"/>
    </xf>
    <xf numFmtId="0" fontId="8" fillId="32" borderId="0" xfId="0" applyFont="1" applyFill="1" applyAlignment="1">
      <alignment horizontal="left" vertical="center" wrapText="1"/>
    </xf>
    <xf numFmtId="179" fontId="8" fillId="32" borderId="17" xfId="0" applyNumberFormat="1" applyFont="1" applyFill="1" applyBorder="1" applyAlignment="1">
      <alignment horizontal="center" vertical="center" wrapText="1"/>
    </xf>
    <xf numFmtId="179" fontId="8" fillId="32" borderId="18" xfId="0" applyNumberFormat="1" applyFont="1" applyFill="1" applyBorder="1" applyAlignment="1">
      <alignment horizontal="center" vertical="center" wrapText="1"/>
    </xf>
    <xf numFmtId="179" fontId="8" fillId="32" borderId="14" xfId="0" applyNumberFormat="1" applyFont="1" applyFill="1" applyBorder="1" applyAlignment="1">
      <alignment horizontal="center" vertical="center" wrapText="1"/>
    </xf>
    <xf numFmtId="178" fontId="8" fillId="32" borderId="12" xfId="0" applyNumberFormat="1" applyFont="1" applyFill="1" applyBorder="1" applyAlignment="1">
      <alignment horizontal="right" vertical="center" wrapText="1"/>
    </xf>
    <xf numFmtId="0" fontId="6" fillId="32" borderId="0" xfId="0" applyFont="1" applyFill="1" applyAlignment="1">
      <alignment horizontal="center" vertical="center"/>
    </xf>
    <xf numFmtId="0" fontId="22" fillId="32" borderId="0" xfId="0" applyFont="1" applyFill="1" applyAlignment="1">
      <alignment horizontal="center" vertical="center" wrapText="1"/>
    </xf>
    <xf numFmtId="0" fontId="40" fillId="32" borderId="0" xfId="66" applyFont="1" applyFill="1" applyAlignment="1">
      <alignment horizontal="center" vertical="center"/>
      <protection/>
    </xf>
    <xf numFmtId="0" fontId="6" fillId="32" borderId="10" xfId="0" applyFont="1" applyFill="1" applyBorder="1" applyAlignment="1">
      <alignment horizontal="center" vertical="center" wrapText="1"/>
    </xf>
    <xf numFmtId="0" fontId="7" fillId="32" borderId="23" xfId="0" applyFont="1" applyFill="1" applyBorder="1" applyAlignment="1">
      <alignment horizontal="right" vertical="center"/>
    </xf>
    <xf numFmtId="0" fontId="6" fillId="32" borderId="11"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24"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42" fillId="32" borderId="0" xfId="66" applyFont="1" applyFill="1" applyAlignment="1">
      <alignment horizontal="center" vertical="center"/>
      <protection/>
    </xf>
    <xf numFmtId="0" fontId="7" fillId="32" borderId="12"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3" fillId="0" borderId="23" xfId="0" applyFont="1" applyBorder="1" applyAlignment="1">
      <alignment horizontal="right"/>
    </xf>
    <xf numFmtId="0" fontId="2" fillId="32" borderId="10" xfId="0" applyFont="1" applyFill="1" applyBorder="1" applyAlignment="1">
      <alignment horizontal="center" vertical="center" wrapText="1"/>
    </xf>
    <xf numFmtId="0" fontId="26" fillId="0" borderId="0" xfId="66" applyFont="1" applyAlignment="1">
      <alignment horizontal="center" vertical="center"/>
      <protection/>
    </xf>
    <xf numFmtId="3" fontId="25" fillId="32" borderId="10" xfId="0" applyNumberFormat="1" applyFont="1" applyFill="1" applyBorder="1" applyAlignment="1">
      <alignment horizontal="center"/>
    </xf>
    <xf numFmtId="0" fontId="7" fillId="32" borderId="23" xfId="0" applyFont="1" applyFill="1" applyBorder="1" applyAlignment="1">
      <alignment horizontal="center" vertical="center"/>
    </xf>
    <xf numFmtId="0" fontId="24" fillId="32" borderId="0" xfId="0" applyFont="1" applyFill="1" applyAlignment="1">
      <alignment horizontal="center" vertical="center" wrapText="1"/>
    </xf>
    <xf numFmtId="0" fontId="25" fillId="32" borderId="10" xfId="0" applyFont="1" applyFill="1" applyBorder="1" applyAlignment="1">
      <alignment horizontal="center"/>
    </xf>
    <xf numFmtId="0" fontId="21" fillId="0" borderId="0" xfId="66" applyFont="1" applyAlignment="1">
      <alignment horizontal="center" vertical="center"/>
      <protection/>
    </xf>
    <xf numFmtId="0" fontId="49" fillId="32" borderId="24" xfId="0" applyFont="1" applyFill="1" applyBorder="1" applyAlignment="1">
      <alignment horizontal="center" vertical="center" wrapText="1"/>
    </xf>
    <xf numFmtId="0" fontId="49" fillId="32" borderId="15" xfId="0" applyFont="1" applyFill="1" applyBorder="1" applyAlignment="1">
      <alignment horizontal="center" vertical="center" wrapText="1"/>
    </xf>
    <xf numFmtId="3" fontId="49" fillId="32" borderId="24" xfId="0" applyNumberFormat="1" applyFont="1" applyFill="1" applyBorder="1" applyAlignment="1">
      <alignment horizontal="center" vertical="center" wrapText="1"/>
    </xf>
    <xf numFmtId="3" fontId="49" fillId="32" borderId="15" xfId="0" applyNumberFormat="1" applyFont="1" applyFill="1" applyBorder="1" applyAlignment="1">
      <alignment horizontal="center" vertical="center" wrapText="1"/>
    </xf>
    <xf numFmtId="0" fontId="49" fillId="32" borderId="10" xfId="0" applyFont="1" applyFill="1" applyBorder="1" applyAlignment="1">
      <alignment horizontal="center" vertical="center" wrapText="1"/>
    </xf>
    <xf numFmtId="3" fontId="49" fillId="32" borderId="10" xfId="0" applyNumberFormat="1" applyFont="1" applyFill="1" applyBorder="1" applyAlignment="1">
      <alignment horizontal="center" vertical="center" wrapText="1"/>
    </xf>
    <xf numFmtId="0" fontId="49" fillId="32" borderId="25" xfId="0" applyFont="1" applyFill="1" applyBorder="1" applyAlignment="1">
      <alignment horizontal="center" vertical="center" wrapText="1"/>
    </xf>
    <xf numFmtId="0" fontId="49" fillId="32" borderId="26" xfId="0" applyFont="1" applyFill="1" applyBorder="1" applyAlignment="1">
      <alignment horizontal="center" vertical="center" wrapText="1"/>
    </xf>
    <xf numFmtId="0" fontId="49" fillId="32" borderId="21" xfId="0" applyFont="1" applyFill="1" applyBorder="1" applyAlignment="1">
      <alignment horizontal="center" vertical="center" wrapText="1"/>
    </xf>
    <xf numFmtId="175" fontId="8" fillId="32" borderId="27" xfId="0" applyNumberFormat="1" applyFont="1" applyFill="1" applyBorder="1" applyAlignment="1">
      <alignment horizontal="center" vertical="center" wrapText="1"/>
    </xf>
    <xf numFmtId="0" fontId="40" fillId="0" borderId="0" xfId="66" applyFont="1" applyAlignment="1">
      <alignment horizontal="center" vertical="center"/>
      <protection/>
    </xf>
    <xf numFmtId="175" fontId="19" fillId="32" borderId="10" xfId="0" applyNumberFormat="1" applyFont="1" applyFill="1" applyBorder="1" applyAlignment="1">
      <alignment horizontal="center" vertical="center" wrapText="1"/>
    </xf>
    <xf numFmtId="3" fontId="19" fillId="32" borderId="10" xfId="0" applyNumberFormat="1" applyFont="1" applyFill="1" applyBorder="1" applyAlignment="1">
      <alignment horizontal="center" vertical="center" wrapText="1"/>
    </xf>
    <xf numFmtId="0" fontId="44" fillId="32" borderId="0" xfId="0" applyFont="1" applyFill="1" applyAlignment="1">
      <alignment horizontal="center" vertical="center" wrapText="1"/>
    </xf>
    <xf numFmtId="3" fontId="19" fillId="32" borderId="28" xfId="0" applyNumberFormat="1" applyFont="1" applyFill="1" applyBorder="1" applyAlignment="1">
      <alignment horizontal="center" vertical="center" wrapText="1"/>
    </xf>
    <xf numFmtId="3" fontId="19" fillId="32" borderId="29" xfId="0" applyNumberFormat="1" applyFont="1" applyFill="1" applyBorder="1" applyAlignment="1">
      <alignment horizontal="center" vertical="center" wrapText="1"/>
    </xf>
    <xf numFmtId="3" fontId="19" fillId="32" borderId="27" xfId="0" applyNumberFormat="1" applyFont="1" applyFill="1" applyBorder="1" applyAlignment="1">
      <alignment horizontal="center" vertical="center" wrapText="1"/>
    </xf>
    <xf numFmtId="3" fontId="19" fillId="32" borderId="30" xfId="0" applyNumberFormat="1" applyFont="1" applyFill="1" applyBorder="1" applyAlignment="1">
      <alignment horizontal="center" vertical="center" wrapText="1"/>
    </xf>
    <xf numFmtId="9" fontId="7" fillId="32" borderId="23" xfId="0" applyNumberFormat="1" applyFont="1" applyFill="1" applyBorder="1" applyAlignment="1">
      <alignment horizontal="center" vertical="center"/>
    </xf>
    <xf numFmtId="9" fontId="19" fillId="32" borderId="10" xfId="0" applyNumberFormat="1" applyFont="1" applyFill="1" applyBorder="1" applyAlignment="1">
      <alignment horizontal="center" vertical="center" wrapText="1"/>
    </xf>
    <xf numFmtId="3" fontId="19" fillId="32" borderId="24" xfId="0" applyNumberFormat="1" applyFont="1" applyFill="1" applyBorder="1" applyAlignment="1">
      <alignment horizontal="center" vertical="center" wrapText="1"/>
    </xf>
    <xf numFmtId="3" fontId="19" fillId="32" borderId="18" xfId="0" applyNumberFormat="1" applyFont="1" applyFill="1" applyBorder="1" applyAlignment="1">
      <alignment horizontal="center" vertical="center" wrapText="1"/>
    </xf>
    <xf numFmtId="3" fontId="19" fillId="32" borderId="15" xfId="0" applyNumberFormat="1" applyFont="1" applyFill="1" applyBorder="1" applyAlignment="1">
      <alignment horizontal="center" vertical="center" wrapText="1"/>
    </xf>
    <xf numFmtId="175" fontId="19" fillId="32" borderId="24" xfId="0" applyNumberFormat="1" applyFont="1" applyFill="1" applyBorder="1" applyAlignment="1">
      <alignment horizontal="center" vertical="center" wrapText="1"/>
    </xf>
    <xf numFmtId="175" fontId="19" fillId="32" borderId="18" xfId="0" applyNumberFormat="1" applyFont="1" applyFill="1" applyBorder="1" applyAlignment="1">
      <alignment horizontal="center" vertical="center" wrapText="1"/>
    </xf>
    <xf numFmtId="175" fontId="19" fillId="32" borderId="15" xfId="0" applyNumberFormat="1" applyFont="1" applyFill="1" applyBorder="1" applyAlignment="1">
      <alignment horizontal="center" vertical="center" wrapText="1"/>
    </xf>
    <xf numFmtId="0" fontId="19" fillId="32" borderId="10" xfId="0" applyFont="1" applyFill="1" applyBorder="1" applyAlignment="1">
      <alignment horizontal="center" vertical="center" wrapText="1"/>
    </xf>
    <xf numFmtId="9" fontId="6" fillId="32" borderId="0" xfId="0" applyNumberFormat="1" applyFont="1" applyFill="1" applyAlignment="1">
      <alignment horizontal="center" vertical="center"/>
    </xf>
    <xf numFmtId="9" fontId="19" fillId="32" borderId="24" xfId="0" applyNumberFormat="1" applyFont="1" applyFill="1" applyBorder="1" applyAlignment="1">
      <alignment horizontal="center" vertical="center" wrapText="1"/>
    </xf>
    <xf numFmtId="9" fontId="19" fillId="32" borderId="18" xfId="0" applyNumberFormat="1" applyFont="1" applyFill="1" applyBorder="1" applyAlignment="1">
      <alignment horizontal="center" vertical="center" wrapText="1"/>
    </xf>
    <xf numFmtId="9" fontId="19" fillId="32" borderId="15" xfId="0" applyNumberFormat="1" applyFont="1" applyFill="1" applyBorder="1" applyAlignment="1">
      <alignment horizontal="center" vertical="center" wrapText="1"/>
    </xf>
    <xf numFmtId="9" fontId="19" fillId="32" borderId="28" xfId="0" applyNumberFormat="1" applyFont="1" applyFill="1" applyBorder="1" applyAlignment="1">
      <alignment horizontal="center" vertical="center" wrapText="1"/>
    </xf>
    <xf numFmtId="9" fontId="19" fillId="32" borderId="29" xfId="0" applyNumberFormat="1" applyFont="1" applyFill="1" applyBorder="1" applyAlignment="1">
      <alignment horizontal="center" vertical="center" wrapText="1"/>
    </xf>
    <xf numFmtId="9" fontId="19" fillId="32" borderId="27" xfId="0" applyNumberFormat="1" applyFont="1" applyFill="1" applyBorder="1" applyAlignment="1">
      <alignment horizontal="center" vertical="center" wrapText="1"/>
    </xf>
    <xf numFmtId="9" fontId="19" fillId="32" borderId="30" xfId="0" applyNumberFormat="1" applyFont="1" applyFill="1" applyBorder="1" applyAlignment="1">
      <alignment horizontal="center" vertical="center" wrapText="1"/>
    </xf>
    <xf numFmtId="0" fontId="19" fillId="0" borderId="10" xfId="0" applyFont="1" applyBorder="1" applyAlignment="1">
      <alignment horizontal="center" vertical="center" wrapText="1"/>
    </xf>
    <xf numFmtId="0" fontId="7" fillId="0" borderId="23" xfId="0" applyFont="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center" vertical="center" wrapText="1"/>
    </xf>
    <xf numFmtId="0" fontId="54" fillId="0" borderId="10" xfId="0" applyFont="1" applyBorder="1" applyAlignment="1">
      <alignment horizontal="center" vertical="center" wrapText="1"/>
    </xf>
    <xf numFmtId="0" fontId="3" fillId="0" borderId="23" xfId="0" applyFont="1" applyBorder="1" applyAlignment="1">
      <alignment horizontal="center" vertical="center"/>
    </xf>
    <xf numFmtId="0" fontId="27" fillId="0" borderId="0" xfId="0" applyFont="1" applyAlignment="1">
      <alignment horizontal="center" vertical="center" wrapText="1"/>
    </xf>
  </cellXfs>
  <cellStyles count="64">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omma 14" xfId="44"/>
    <cellStyle name="Comma 2" xfId="45"/>
    <cellStyle name="Currency" xfId="46"/>
    <cellStyle name="Currency [0]" xfId="47"/>
    <cellStyle name="Check Cell"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2 2" xfId="60"/>
    <cellStyle name="Normal 13" xfId="61"/>
    <cellStyle name="Normal 16 2" xfId="62"/>
    <cellStyle name="Normal 2" xfId="63"/>
    <cellStyle name="Normal 3" xfId="64"/>
    <cellStyle name="Normal 7" xfId="65"/>
    <cellStyle name="Normal_mẫu biểu theo TT342" xfId="66"/>
    <cellStyle name="Normal_Phan bo CTMT QG GNBV 2017" xfId="67"/>
    <cellStyle name="Note" xfId="68"/>
    <cellStyle name="Output" xfId="69"/>
    <cellStyle name="Percent" xfId="70"/>
    <cellStyle name="Style 1" xfId="71"/>
    <cellStyle name="Style 1 2 2" xfId="72"/>
    <cellStyle name="Style 1 3" xfId="73"/>
    <cellStyle name="Style 1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K45"/>
  <sheetViews>
    <sheetView zoomScale="85" zoomScaleNormal="8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2" sqref="G2"/>
    </sheetView>
  </sheetViews>
  <sheetFormatPr defaultColWidth="9.140625" defaultRowHeight="15"/>
  <cols>
    <col min="1" max="1" width="6.28125" style="0" customWidth="1"/>
    <col min="2" max="2" width="45.421875" style="0" customWidth="1"/>
    <col min="3" max="3" width="14.28125" style="0" customWidth="1"/>
    <col min="4" max="4" width="18.28125" style="0" customWidth="1"/>
    <col min="5" max="5" width="16.28125" style="0" customWidth="1"/>
    <col min="6" max="6" width="12.140625" style="0" customWidth="1"/>
    <col min="7" max="7" width="24.28125" style="0" customWidth="1"/>
    <col min="8" max="8" width="19.421875" style="0" customWidth="1"/>
    <col min="9" max="9" width="15.8515625" style="0" customWidth="1"/>
    <col min="10" max="10" width="12.140625" style="0" customWidth="1"/>
  </cols>
  <sheetData>
    <row r="1" spans="5:6" ht="24" customHeight="1">
      <c r="E1" s="360" t="s">
        <v>170</v>
      </c>
      <c r="F1" s="360"/>
    </row>
    <row r="2" spans="1:6" ht="33" customHeight="1">
      <c r="A2" s="361" t="s">
        <v>309</v>
      </c>
      <c r="B2" s="361"/>
      <c r="C2" s="361"/>
      <c r="D2" s="361"/>
      <c r="E2" s="361"/>
      <c r="F2" s="361"/>
    </row>
    <row r="3" spans="1:6" ht="22.5" customHeight="1">
      <c r="A3" s="362" t="s">
        <v>429</v>
      </c>
      <c r="B3" s="362"/>
      <c r="C3" s="362"/>
      <c r="D3" s="362"/>
      <c r="E3" s="362"/>
      <c r="F3" s="362"/>
    </row>
    <row r="4" ht="15.75">
      <c r="F4" s="1" t="s">
        <v>85</v>
      </c>
    </row>
    <row r="5" spans="1:6" ht="20.25" customHeight="1">
      <c r="A5" s="364" t="s">
        <v>389</v>
      </c>
      <c r="B5" s="364" t="s">
        <v>363</v>
      </c>
      <c r="C5" s="364" t="s">
        <v>167</v>
      </c>
      <c r="D5" s="364" t="s">
        <v>208</v>
      </c>
      <c r="E5" s="364" t="s">
        <v>134</v>
      </c>
      <c r="F5" s="364"/>
    </row>
    <row r="6" spans="1:7" ht="31.5">
      <c r="A6" s="364"/>
      <c r="B6" s="364"/>
      <c r="C6" s="364"/>
      <c r="D6" s="364"/>
      <c r="E6" s="3" t="s">
        <v>135</v>
      </c>
      <c r="F6" s="3" t="s">
        <v>282</v>
      </c>
      <c r="G6" s="16"/>
    </row>
    <row r="7" spans="1:6" s="4" customFormat="1" ht="15.75">
      <c r="A7" s="2" t="s">
        <v>83</v>
      </c>
      <c r="B7" s="2" t="s">
        <v>84</v>
      </c>
      <c r="C7" s="2">
        <v>1</v>
      </c>
      <c r="D7" s="2">
        <v>2</v>
      </c>
      <c r="E7" s="2" t="s">
        <v>269</v>
      </c>
      <c r="F7" s="2" t="s">
        <v>270</v>
      </c>
    </row>
    <row r="8" spans="1:8" ht="15.75">
      <c r="A8" s="6" t="s">
        <v>83</v>
      </c>
      <c r="B8" s="7" t="s">
        <v>136</v>
      </c>
      <c r="C8" s="251">
        <f>SUM(C9,C12,C15,C16,C17,C18)</f>
        <v>9131278</v>
      </c>
      <c r="D8" s="48">
        <f>SUM(D9,D12,D15,D16,D1,D17,D18,D199,D19)</f>
        <v>11665817.339014001</v>
      </c>
      <c r="E8" s="48">
        <f>D8-C8</f>
        <v>2534539.339014001</v>
      </c>
      <c r="F8" s="49">
        <f>D8/C8</f>
        <v>1.277566769844703</v>
      </c>
      <c r="G8" s="101">
        <f>D8-D20</f>
        <v>4254.002967000008</v>
      </c>
      <c r="H8" s="101"/>
    </row>
    <row r="9" spans="1:11" ht="15.75">
      <c r="A9" s="8" t="s">
        <v>91</v>
      </c>
      <c r="B9" s="9" t="s">
        <v>271</v>
      </c>
      <c r="C9" s="55">
        <f>SUM(C10:C11)</f>
        <v>934400</v>
      </c>
      <c r="D9" s="24">
        <f>SUM(D10:D11)</f>
        <v>1112702.7434420001</v>
      </c>
      <c r="E9" s="24">
        <f aca="true" t="shared" si="0" ref="E9:E44">D9-C9</f>
        <v>178302.74344200012</v>
      </c>
      <c r="F9" s="204">
        <f aca="true" t="shared" si="1" ref="F9:F44">D9/C9</f>
        <v>1.1908205730329624</v>
      </c>
      <c r="G9" s="100"/>
      <c r="H9" s="100"/>
      <c r="I9" s="102"/>
      <c r="J9" s="102"/>
      <c r="K9" s="102"/>
    </row>
    <row r="10" spans="1:11" ht="15.75">
      <c r="A10" s="10"/>
      <c r="B10" s="11" t="s">
        <v>424</v>
      </c>
      <c r="C10" s="57">
        <v>428200</v>
      </c>
      <c r="D10" s="23">
        <v>671541.5134620001</v>
      </c>
      <c r="E10" s="23">
        <f t="shared" si="0"/>
        <v>243341.51346200006</v>
      </c>
      <c r="F10" s="25">
        <f t="shared" si="1"/>
        <v>1.568289382209248</v>
      </c>
      <c r="G10" s="100"/>
      <c r="H10" s="101"/>
      <c r="I10" s="102"/>
      <c r="J10" s="102"/>
      <c r="K10" s="102"/>
    </row>
    <row r="11" spans="1:8" ht="15.75">
      <c r="A11" s="10"/>
      <c r="B11" s="11" t="s">
        <v>425</v>
      </c>
      <c r="C11" s="57">
        <v>506200</v>
      </c>
      <c r="D11" s="23">
        <v>441161.22998</v>
      </c>
      <c r="E11" s="23">
        <f t="shared" si="0"/>
        <v>-65038.770019999996</v>
      </c>
      <c r="F11" s="25">
        <f t="shared" si="1"/>
        <v>0.8715156657052548</v>
      </c>
      <c r="H11" s="16"/>
    </row>
    <row r="12" spans="1:6" ht="15.75">
      <c r="A12" s="8" t="s">
        <v>87</v>
      </c>
      <c r="B12" s="9" t="s">
        <v>209</v>
      </c>
      <c r="C12" s="249">
        <f>SUM(C13:C14)</f>
        <v>8157784</v>
      </c>
      <c r="D12" s="24">
        <f>SUM(D13:D14)</f>
        <v>8608688.367308</v>
      </c>
      <c r="E12" s="24">
        <f t="shared" si="0"/>
        <v>450904.3673080001</v>
      </c>
      <c r="F12" s="204">
        <f t="shared" si="1"/>
        <v>1.0552728985356807</v>
      </c>
    </row>
    <row r="13" spans="1:6" ht="15.75">
      <c r="A13" s="10"/>
      <c r="B13" s="11" t="s">
        <v>422</v>
      </c>
      <c r="C13" s="250">
        <f>5666899+218707</f>
        <v>5885606</v>
      </c>
      <c r="D13" s="51">
        <v>5885606</v>
      </c>
      <c r="E13" s="23">
        <f t="shared" si="0"/>
        <v>0</v>
      </c>
      <c r="F13" s="25">
        <f t="shared" si="1"/>
        <v>1</v>
      </c>
    </row>
    <row r="14" spans="1:6" ht="15.75">
      <c r="A14" s="10"/>
      <c r="B14" s="11" t="s">
        <v>423</v>
      </c>
      <c r="C14" s="250">
        <f>2272178</f>
        <v>2272178</v>
      </c>
      <c r="D14" s="93">
        <v>2723082.367308</v>
      </c>
      <c r="E14" s="23">
        <f t="shared" si="0"/>
        <v>450904.3673080001</v>
      </c>
      <c r="F14" s="25">
        <f t="shared" si="1"/>
        <v>1.1984458820162858</v>
      </c>
    </row>
    <row r="15" spans="1:6" s="205" customFormat="1" ht="15.75">
      <c r="A15" s="30" t="s">
        <v>88</v>
      </c>
      <c r="B15" s="37" t="s">
        <v>394</v>
      </c>
      <c r="C15" s="57"/>
      <c r="D15" s="41">
        <f>5703.545292+7901.964708</f>
        <v>13605.51</v>
      </c>
      <c r="E15" s="41">
        <f t="shared" si="0"/>
        <v>13605.51</v>
      </c>
      <c r="F15" s="58"/>
    </row>
    <row r="16" spans="1:6" ht="15.75">
      <c r="A16" s="8" t="s">
        <v>89</v>
      </c>
      <c r="B16" s="9" t="s">
        <v>133</v>
      </c>
      <c r="C16" s="250"/>
      <c r="D16" s="24">
        <v>5355.573077</v>
      </c>
      <c r="E16" s="24">
        <f t="shared" si="0"/>
        <v>5355.573077</v>
      </c>
      <c r="F16" s="25"/>
    </row>
    <row r="17" spans="1:6" ht="15.75">
      <c r="A17" s="8" t="s">
        <v>334</v>
      </c>
      <c r="B17" s="9" t="s">
        <v>137</v>
      </c>
      <c r="C17" s="250"/>
      <c r="D17" s="24">
        <v>1771731.919738</v>
      </c>
      <c r="E17" s="24">
        <f t="shared" si="0"/>
        <v>1771731.919738</v>
      </c>
      <c r="F17" s="25"/>
    </row>
    <row r="18" spans="1:8" ht="15.75">
      <c r="A18" s="8" t="s">
        <v>286</v>
      </c>
      <c r="B18" s="9" t="s">
        <v>281</v>
      </c>
      <c r="C18" s="249">
        <v>39094</v>
      </c>
      <c r="D18" s="24">
        <v>14590.564877</v>
      </c>
      <c r="E18" s="24">
        <f t="shared" si="0"/>
        <v>-24503.435123</v>
      </c>
      <c r="F18" s="204">
        <f t="shared" si="1"/>
        <v>0.3732174982606027</v>
      </c>
      <c r="H18" s="16"/>
    </row>
    <row r="19" spans="1:7" ht="15.75">
      <c r="A19" s="8" t="s">
        <v>169</v>
      </c>
      <c r="B19" s="9" t="s">
        <v>310</v>
      </c>
      <c r="C19" s="250"/>
      <c r="D19" s="24">
        <v>139142.660572</v>
      </c>
      <c r="E19" s="24">
        <f t="shared" si="0"/>
        <v>139142.660572</v>
      </c>
      <c r="F19" s="25"/>
      <c r="G19" s="16"/>
    </row>
    <row r="20" spans="1:10" ht="15.75">
      <c r="A20" s="8" t="s">
        <v>84</v>
      </c>
      <c r="B20" s="9" t="s">
        <v>93</v>
      </c>
      <c r="C20" s="249">
        <f>SUM(C21,C28,C31,C33)</f>
        <v>9061427</v>
      </c>
      <c r="D20" s="24">
        <f>SUM(D21,D28,D31,D33,D34)</f>
        <v>11661563.336047001</v>
      </c>
      <c r="E20" s="24">
        <f>SUM(E21,E28,E31,E33,E34)</f>
        <v>2507885.8360470003</v>
      </c>
      <c r="F20" s="204">
        <f t="shared" si="1"/>
        <v>1.2869455700572328</v>
      </c>
      <c r="G20" s="98">
        <f>SUM(G21:G34)</f>
        <v>11661563</v>
      </c>
      <c r="H20" s="98"/>
      <c r="I20" s="115"/>
      <c r="J20" s="116"/>
    </row>
    <row r="21" spans="1:10" ht="15.75">
      <c r="A21" s="8" t="s">
        <v>91</v>
      </c>
      <c r="B21" s="9" t="s">
        <v>210</v>
      </c>
      <c r="C21" s="249">
        <f>SUM(C22:C27)</f>
        <v>7042189</v>
      </c>
      <c r="D21" s="24">
        <f>SUM(D22:D27)</f>
        <v>7198341.281041</v>
      </c>
      <c r="E21" s="24">
        <f t="shared" si="0"/>
        <v>156152.28104100004</v>
      </c>
      <c r="F21" s="204">
        <f t="shared" si="1"/>
        <v>1.0221738270644256</v>
      </c>
      <c r="G21" s="99">
        <v>7198341</v>
      </c>
      <c r="H21" s="99"/>
      <c r="I21" s="115"/>
      <c r="J21" s="116"/>
    </row>
    <row r="22" spans="1:8" ht="15.75">
      <c r="A22" s="10">
        <v>1</v>
      </c>
      <c r="B22" s="11" t="s">
        <v>272</v>
      </c>
      <c r="C22" s="250">
        <v>706136</v>
      </c>
      <c r="D22" s="23">
        <v>670972.822233</v>
      </c>
      <c r="E22" s="23">
        <f t="shared" si="0"/>
        <v>-35163.177767000045</v>
      </c>
      <c r="F22" s="25">
        <f t="shared" si="1"/>
        <v>0.9502033917446497</v>
      </c>
      <c r="G22" s="98"/>
      <c r="H22" s="98"/>
    </row>
    <row r="23" spans="1:9" ht="15.75">
      <c r="A23" s="10">
        <v>2</v>
      </c>
      <c r="B23" s="11" t="s">
        <v>94</v>
      </c>
      <c r="C23" s="250">
        <v>6158349</v>
      </c>
      <c r="D23" s="23">
        <v>6525580.833788</v>
      </c>
      <c r="E23" s="23">
        <f t="shared" si="0"/>
        <v>367231.83378800005</v>
      </c>
      <c r="F23" s="25">
        <f t="shared" si="1"/>
        <v>1.0596315398474494</v>
      </c>
      <c r="G23" s="98"/>
      <c r="H23" s="98"/>
      <c r="I23" s="16"/>
    </row>
    <row r="24" spans="1:6" ht="31.5">
      <c r="A24" s="10">
        <v>3</v>
      </c>
      <c r="B24" s="11" t="s">
        <v>95</v>
      </c>
      <c r="C24" s="250">
        <v>1543</v>
      </c>
      <c r="D24" s="23">
        <v>787.62502</v>
      </c>
      <c r="E24" s="23">
        <f t="shared" si="0"/>
        <v>-755.37498</v>
      </c>
      <c r="F24" s="25">
        <f t="shared" si="1"/>
        <v>0.5104504342190538</v>
      </c>
    </row>
    <row r="25" spans="1:6" ht="15.75">
      <c r="A25" s="10">
        <v>4</v>
      </c>
      <c r="B25" s="11" t="s">
        <v>138</v>
      </c>
      <c r="C25" s="250">
        <v>1000</v>
      </c>
      <c r="D25" s="23">
        <v>1000</v>
      </c>
      <c r="E25" s="23">
        <f t="shared" si="0"/>
        <v>0</v>
      </c>
      <c r="F25" s="25">
        <f t="shared" si="1"/>
        <v>1</v>
      </c>
    </row>
    <row r="26" spans="1:6" ht="15.75">
      <c r="A26" s="10">
        <v>5</v>
      </c>
      <c r="B26" s="11" t="s">
        <v>139</v>
      </c>
      <c r="C26" s="250">
        <v>135810</v>
      </c>
      <c r="D26" s="23"/>
      <c r="E26" s="23">
        <f t="shared" si="0"/>
        <v>-135810</v>
      </c>
      <c r="F26" s="25">
        <f t="shared" si="1"/>
        <v>0</v>
      </c>
    </row>
    <row r="27" spans="1:6" ht="15.75">
      <c r="A27" s="10">
        <v>6</v>
      </c>
      <c r="B27" s="11" t="s">
        <v>96</v>
      </c>
      <c r="C27" s="250">
        <v>39351</v>
      </c>
      <c r="D27" s="23"/>
      <c r="E27" s="23">
        <f t="shared" si="0"/>
        <v>-39351</v>
      </c>
      <c r="F27" s="25">
        <f t="shared" si="1"/>
        <v>0</v>
      </c>
    </row>
    <row r="28" spans="1:7" ht="15.75">
      <c r="A28" s="8" t="s">
        <v>87</v>
      </c>
      <c r="B28" s="9" t="s">
        <v>140</v>
      </c>
      <c r="C28" s="249">
        <f>SUM(C29:C30)</f>
        <v>2019238</v>
      </c>
      <c r="D28" s="24">
        <f>SUM(D29:D30)</f>
        <v>1826198.32132</v>
      </c>
      <c r="E28" s="24">
        <f t="shared" si="0"/>
        <v>-193039.6786799999</v>
      </c>
      <c r="F28" s="204">
        <f t="shared" si="1"/>
        <v>0.9043997395651231</v>
      </c>
      <c r="G28">
        <v>1826198</v>
      </c>
    </row>
    <row r="29" spans="1:6" ht="15.75">
      <c r="A29" s="10">
        <v>1</v>
      </c>
      <c r="B29" s="11" t="s">
        <v>141</v>
      </c>
      <c r="C29" s="250">
        <v>601848</v>
      </c>
      <c r="D29" s="23">
        <v>598256.434579</v>
      </c>
      <c r="E29" s="23">
        <f t="shared" si="0"/>
        <v>-3591.5654210000066</v>
      </c>
      <c r="F29" s="25">
        <f t="shared" si="1"/>
        <v>0.9940324377234784</v>
      </c>
    </row>
    <row r="30" spans="1:6" ht="15.75">
      <c r="A30" s="10">
        <v>2</v>
      </c>
      <c r="B30" s="11" t="s">
        <v>142</v>
      </c>
      <c r="C30" s="250">
        <f>1230299+187091</f>
        <v>1417390</v>
      </c>
      <c r="D30" s="23">
        <v>1227941.886741</v>
      </c>
      <c r="E30" s="23">
        <f t="shared" si="0"/>
        <v>-189448.113259</v>
      </c>
      <c r="F30" s="25">
        <f t="shared" si="1"/>
        <v>0.8663401651916551</v>
      </c>
    </row>
    <row r="31" spans="1:7" ht="15.75">
      <c r="A31" s="8" t="s">
        <v>88</v>
      </c>
      <c r="B31" s="9" t="s">
        <v>143</v>
      </c>
      <c r="C31" s="23"/>
      <c r="D31" s="24">
        <v>2264572.233686</v>
      </c>
      <c r="E31" s="24">
        <f t="shared" si="0"/>
        <v>2264572.233686</v>
      </c>
      <c r="F31" s="25"/>
      <c r="G31">
        <v>2264572</v>
      </c>
    </row>
    <row r="32" spans="1:6" ht="15.75" hidden="1">
      <c r="A32" s="8" t="s">
        <v>89</v>
      </c>
      <c r="B32" s="9" t="s">
        <v>268</v>
      </c>
      <c r="C32" s="23"/>
      <c r="D32" s="24"/>
      <c r="E32" s="23">
        <f t="shared" si="0"/>
        <v>0</v>
      </c>
      <c r="F32" s="25" t="e">
        <f t="shared" si="1"/>
        <v>#DIV/0!</v>
      </c>
    </row>
    <row r="33" spans="1:7" ht="15.75">
      <c r="A33" s="8" t="s">
        <v>89</v>
      </c>
      <c r="B33" s="9" t="s">
        <v>145</v>
      </c>
      <c r="C33" s="23"/>
      <c r="D33" s="24">
        <v>280201</v>
      </c>
      <c r="E33" s="24">
        <f t="shared" si="0"/>
        <v>280201</v>
      </c>
      <c r="F33" s="25"/>
      <c r="G33">
        <v>280201</v>
      </c>
    </row>
    <row r="34" spans="1:7" ht="15.75">
      <c r="A34" s="8" t="s">
        <v>334</v>
      </c>
      <c r="B34" s="9" t="s">
        <v>392</v>
      </c>
      <c r="C34" s="24">
        <v>92250.5</v>
      </c>
      <c r="D34" s="24">
        <v>92250.5</v>
      </c>
      <c r="E34" s="24"/>
      <c r="F34" s="25"/>
      <c r="G34">
        <v>92251</v>
      </c>
    </row>
    <row r="35" spans="1:6" ht="15.75">
      <c r="A35" s="8" t="s">
        <v>90</v>
      </c>
      <c r="B35" s="9" t="s">
        <v>303</v>
      </c>
      <c r="C35" s="249">
        <f>SUM(C36:C36)</f>
        <v>69851</v>
      </c>
      <c r="D35" s="24">
        <f>SUM(D36:D36)</f>
        <v>78644.990204</v>
      </c>
      <c r="E35" s="24">
        <f t="shared" si="0"/>
        <v>8793.990204000002</v>
      </c>
      <c r="F35" s="204">
        <f t="shared" si="1"/>
        <v>1.1258964109891054</v>
      </c>
    </row>
    <row r="36" spans="1:6" s="14" customFormat="1" ht="15.75">
      <c r="A36" s="10"/>
      <c r="B36" s="11" t="s">
        <v>41</v>
      </c>
      <c r="C36" s="250">
        <v>69851</v>
      </c>
      <c r="D36" s="94">
        <f>84348.535496-5703.545292</f>
        <v>78644.990204</v>
      </c>
      <c r="E36" s="23">
        <f t="shared" si="0"/>
        <v>8793.990204000002</v>
      </c>
      <c r="F36" s="25">
        <f t="shared" si="1"/>
        <v>1.1258964109891054</v>
      </c>
    </row>
    <row r="37" spans="1:6" s="59" customFormat="1" ht="15.75">
      <c r="A37" s="36" t="s">
        <v>92</v>
      </c>
      <c r="B37" s="37" t="s">
        <v>211</v>
      </c>
      <c r="C37" s="43">
        <f>SUM(C38:C39)</f>
        <v>92250.5</v>
      </c>
      <c r="D37" s="43">
        <f>SUM(D38:D40)</f>
        <v>92250.500204</v>
      </c>
      <c r="E37" s="44">
        <f t="shared" si="0"/>
        <v>0.00020399999630171806</v>
      </c>
      <c r="F37" s="81">
        <f t="shared" si="1"/>
        <v>1.0000000022113702</v>
      </c>
    </row>
    <row r="38" spans="1:6" s="15" customFormat="1" ht="15.75">
      <c r="A38" s="8" t="s">
        <v>91</v>
      </c>
      <c r="B38" s="9" t="s">
        <v>99</v>
      </c>
      <c r="C38" s="246">
        <v>22400</v>
      </c>
      <c r="D38" s="96">
        <f>7901.964708+5703.545292</f>
        <v>13605.51</v>
      </c>
      <c r="E38" s="24">
        <f t="shared" si="0"/>
        <v>-8794.49</v>
      </c>
      <c r="F38" s="204">
        <f t="shared" si="1"/>
        <v>0.6073888392857143</v>
      </c>
    </row>
    <row r="39" spans="1:6" s="15" customFormat="1" ht="15.75">
      <c r="A39" s="8" t="s">
        <v>87</v>
      </c>
      <c r="B39" s="9" t="s">
        <v>225</v>
      </c>
      <c r="C39" s="95">
        <f>92250.5-C38</f>
        <v>69850.5</v>
      </c>
      <c r="D39" s="95">
        <f>D36</f>
        <v>78644.990204</v>
      </c>
      <c r="E39" s="24">
        <f t="shared" si="0"/>
        <v>8794.490204000002</v>
      </c>
      <c r="F39" s="204">
        <f t="shared" si="1"/>
        <v>1.1259044703187522</v>
      </c>
    </row>
    <row r="40" spans="1:6" s="15" customFormat="1" ht="15.75">
      <c r="A40" s="8" t="s">
        <v>88</v>
      </c>
      <c r="B40" s="9" t="s">
        <v>226</v>
      </c>
      <c r="C40" s="95"/>
      <c r="D40" s="95"/>
      <c r="E40" s="23">
        <f t="shared" si="0"/>
        <v>0</v>
      </c>
      <c r="F40" s="204"/>
    </row>
    <row r="41" spans="1:6" ht="15.75">
      <c r="A41" s="8" t="s">
        <v>97</v>
      </c>
      <c r="B41" s="9" t="s">
        <v>273</v>
      </c>
      <c r="C41" s="246">
        <f>SUM(C42:C43)</f>
        <v>22400</v>
      </c>
      <c r="D41" s="95">
        <f>SUM(D42:D43)</f>
        <v>13605.51</v>
      </c>
      <c r="E41" s="24">
        <f t="shared" si="0"/>
        <v>-8794.49</v>
      </c>
      <c r="F41" s="204">
        <f t="shared" si="1"/>
        <v>0.6073888392857143</v>
      </c>
    </row>
    <row r="42" spans="1:6" ht="15.75">
      <c r="A42" s="8" t="s">
        <v>91</v>
      </c>
      <c r="B42" s="9" t="s">
        <v>332</v>
      </c>
      <c r="C42" s="247"/>
      <c r="D42" s="97"/>
      <c r="E42" s="23">
        <f t="shared" si="0"/>
        <v>0</v>
      </c>
      <c r="F42" s="25"/>
    </row>
    <row r="43" spans="1:7" ht="19.5" customHeight="1">
      <c r="A43" s="8" t="s">
        <v>87</v>
      </c>
      <c r="B43" s="9" t="s">
        <v>333</v>
      </c>
      <c r="C43" s="246">
        <v>22400</v>
      </c>
      <c r="D43" s="96">
        <f>7901.964708+5703.545292</f>
        <v>13605.51</v>
      </c>
      <c r="E43" s="24">
        <f t="shared" si="0"/>
        <v>-8794.49</v>
      </c>
      <c r="F43" s="204">
        <f t="shared" si="1"/>
        <v>0.6073888392857143</v>
      </c>
      <c r="G43" s="16"/>
    </row>
    <row r="44" spans="1:8" ht="38.25" customHeight="1">
      <c r="A44" s="12" t="s">
        <v>98</v>
      </c>
      <c r="B44" s="13" t="s">
        <v>212</v>
      </c>
      <c r="C44" s="248">
        <v>204985</v>
      </c>
      <c r="D44" s="95">
        <v>193166.829762</v>
      </c>
      <c r="E44" s="26">
        <f t="shared" si="0"/>
        <v>-11818.170237999992</v>
      </c>
      <c r="F44" s="206">
        <f t="shared" si="1"/>
        <v>0.9423461705100373</v>
      </c>
      <c r="G44" s="16"/>
      <c r="H44" s="16"/>
    </row>
    <row r="45" spans="1:7" ht="60" customHeight="1">
      <c r="A45" s="363"/>
      <c r="B45" s="363"/>
      <c r="C45" s="363"/>
      <c r="D45" s="363"/>
      <c r="E45" s="363"/>
      <c r="F45" s="363"/>
      <c r="G45" s="16"/>
    </row>
  </sheetData>
  <sheetProtection/>
  <mergeCells count="9">
    <mergeCell ref="E1:F1"/>
    <mergeCell ref="A2:F2"/>
    <mergeCell ref="A3:F3"/>
    <mergeCell ref="A45:F45"/>
    <mergeCell ref="A5:A6"/>
    <mergeCell ref="B5:B6"/>
    <mergeCell ref="C5:C6"/>
    <mergeCell ref="D5:D6"/>
    <mergeCell ref="E5:F5"/>
  </mergeCells>
  <printOptions horizontalCentered="1"/>
  <pageMargins left="0" right="0" top="0.7086614173228347" bottom="0"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0"/>
  </sheetPr>
  <dimension ref="A1:N71"/>
  <sheetViews>
    <sheetView zoomScale="75" zoomScaleNormal="75" zoomScalePageLayoutView="0" workbookViewId="0" topLeftCell="A1">
      <selection activeCell="D9" sqref="D9"/>
    </sheetView>
  </sheetViews>
  <sheetFormatPr defaultColWidth="10.421875" defaultRowHeight="15"/>
  <cols>
    <col min="1" max="1" width="4.7109375" style="59" customWidth="1"/>
    <col min="2" max="2" width="52.57421875" style="59" customWidth="1"/>
    <col min="3" max="3" width="13.140625" style="164" customWidth="1"/>
    <col min="4" max="4" width="12.421875" style="164" customWidth="1"/>
    <col min="5" max="5" width="16.57421875" style="164" customWidth="1"/>
    <col min="6" max="6" width="15.7109375" style="164" customWidth="1"/>
    <col min="7" max="8" width="12.421875" style="164" customWidth="1"/>
    <col min="9" max="10" width="10.421875" style="59" customWidth="1"/>
    <col min="11" max="11" width="26.57421875" style="79" customWidth="1"/>
    <col min="12" max="12" width="19.140625" style="59" customWidth="1"/>
    <col min="13" max="16384" width="10.421875" style="59" customWidth="1"/>
  </cols>
  <sheetData>
    <row r="1" spans="7:8" ht="30.75" customHeight="1">
      <c r="G1" s="370" t="s">
        <v>171</v>
      </c>
      <c r="H1" s="370"/>
    </row>
    <row r="2" spans="1:8" ht="33.75" customHeight="1">
      <c r="A2" s="371" t="s">
        <v>388</v>
      </c>
      <c r="B2" s="371"/>
      <c r="C2" s="371"/>
      <c r="D2" s="371"/>
      <c r="E2" s="371"/>
      <c r="F2" s="371"/>
      <c r="G2" s="371"/>
      <c r="H2" s="371"/>
    </row>
    <row r="3" spans="1:8" ht="23.25" customHeight="1">
      <c r="A3" s="372" t="s">
        <v>430</v>
      </c>
      <c r="B3" s="372"/>
      <c r="C3" s="372"/>
      <c r="D3" s="372"/>
      <c r="E3" s="372"/>
      <c r="F3" s="372"/>
      <c r="G3" s="372"/>
      <c r="H3" s="372"/>
    </row>
    <row r="4" spans="6:8" ht="33.75" customHeight="1">
      <c r="F4" s="374" t="s">
        <v>85</v>
      </c>
      <c r="G4" s="374"/>
      <c r="H4" s="374"/>
    </row>
    <row r="5" spans="1:11" s="166" customFormat="1" ht="22.5" customHeight="1">
      <c r="A5" s="373" t="s">
        <v>389</v>
      </c>
      <c r="B5" s="373" t="s">
        <v>82</v>
      </c>
      <c r="C5" s="373" t="s">
        <v>167</v>
      </c>
      <c r="D5" s="373"/>
      <c r="E5" s="373" t="s">
        <v>208</v>
      </c>
      <c r="F5" s="373"/>
      <c r="G5" s="373" t="s">
        <v>274</v>
      </c>
      <c r="H5" s="373"/>
      <c r="K5" s="167"/>
    </row>
    <row r="6" spans="1:11" s="166" customFormat="1" ht="34.5" customHeight="1">
      <c r="A6" s="373"/>
      <c r="B6" s="373"/>
      <c r="C6" s="158" t="s">
        <v>227</v>
      </c>
      <c r="D6" s="158" t="s">
        <v>228</v>
      </c>
      <c r="E6" s="158" t="s">
        <v>227</v>
      </c>
      <c r="F6" s="158" t="s">
        <v>228</v>
      </c>
      <c r="G6" s="158" t="s">
        <v>227</v>
      </c>
      <c r="H6" s="158" t="s">
        <v>228</v>
      </c>
      <c r="K6" s="167"/>
    </row>
    <row r="7" spans="1:11" s="166" customFormat="1" ht="22.5" customHeight="1">
      <c r="A7" s="158" t="s">
        <v>83</v>
      </c>
      <c r="B7" s="158" t="s">
        <v>84</v>
      </c>
      <c r="C7" s="158">
        <v>1</v>
      </c>
      <c r="D7" s="158">
        <v>2</v>
      </c>
      <c r="E7" s="158">
        <v>3</v>
      </c>
      <c r="F7" s="158">
        <v>4</v>
      </c>
      <c r="G7" s="158" t="s">
        <v>229</v>
      </c>
      <c r="H7" s="158" t="s">
        <v>230</v>
      </c>
      <c r="K7" s="167"/>
    </row>
    <row r="8" spans="1:12" s="121" customFormat="1" ht="22.5" customHeight="1">
      <c r="A8" s="168"/>
      <c r="B8" s="90" t="s">
        <v>246</v>
      </c>
      <c r="C8" s="169">
        <f>SUM(C9,C62,C63,C64,C65)</f>
        <v>1100494</v>
      </c>
      <c r="D8" s="170">
        <f>SUM(D9,D62,D63,D64,D65)</f>
        <v>995894</v>
      </c>
      <c r="E8" s="171">
        <f>SUM(E9,E62,E63,E64,E65)</f>
        <v>3318452.4331320003</v>
      </c>
      <c r="F8" s="171">
        <f>SUM(F9,F62,F63,F64,F65)</f>
        <v>3056981.9717059997</v>
      </c>
      <c r="G8" s="80">
        <f aca="true" t="shared" si="0" ref="G8:H11">E8/C8</f>
        <v>3.015420741168966</v>
      </c>
      <c r="H8" s="80">
        <f t="shared" si="0"/>
        <v>3.0695856905514036</v>
      </c>
      <c r="J8" s="172"/>
      <c r="K8" s="173"/>
      <c r="L8" s="173"/>
    </row>
    <row r="9" spans="1:12" s="121" customFormat="1" ht="22.5" customHeight="1">
      <c r="A9" s="174" t="s">
        <v>83</v>
      </c>
      <c r="B9" s="64" t="s">
        <v>231</v>
      </c>
      <c r="C9" s="175">
        <f>SUM(C10,C53,C60,C61)</f>
        <v>1078094</v>
      </c>
      <c r="D9" s="176">
        <f>SUM(D10,D60,D61)</f>
        <v>973494</v>
      </c>
      <c r="E9" s="43">
        <f>SUM(E10,E53,E60,E61)</f>
        <v>1247558.4303170003</v>
      </c>
      <c r="F9" s="43">
        <f>SUM(F10,F53,F60,F61)</f>
        <v>1127146.3083189998</v>
      </c>
      <c r="G9" s="80">
        <f t="shared" si="0"/>
        <v>1.157188918885552</v>
      </c>
      <c r="H9" s="80">
        <f t="shared" si="0"/>
        <v>1.1578359068664006</v>
      </c>
      <c r="K9" s="173"/>
      <c r="L9" s="173"/>
    </row>
    <row r="10" spans="1:12" s="121" customFormat="1" ht="22.5" customHeight="1">
      <c r="A10" s="174" t="s">
        <v>91</v>
      </c>
      <c r="B10" s="64" t="s">
        <v>86</v>
      </c>
      <c r="C10" s="175">
        <f>SUM(C11,C16,C20,C23,C28:C29,C32:C33,C38:C43,C49:C52)</f>
        <v>1030000</v>
      </c>
      <c r="D10" s="176">
        <f>SUM(D11,D16,D20,D23,D28:D29,D32:D33,D38:D43,D49:D52)</f>
        <v>934400</v>
      </c>
      <c r="E10" s="43">
        <f>SUM(E11,E16,E20,E23,E28:E29,E32:E33,E38:E43,E49:E52)</f>
        <v>1160223.731908</v>
      </c>
      <c r="F10" s="43">
        <f>SUM(F11,F16,F20,F23,F28:F29,F32:F33,F38:F43,F49:F52)</f>
        <v>1061616.468432</v>
      </c>
      <c r="G10" s="80">
        <f t="shared" si="0"/>
        <v>1.12643080767767</v>
      </c>
      <c r="H10" s="80">
        <f t="shared" si="0"/>
        <v>1.1361477615924656</v>
      </c>
      <c r="I10" s="172"/>
      <c r="J10" s="172"/>
      <c r="K10" s="173"/>
      <c r="L10" s="173"/>
    </row>
    <row r="11" spans="1:12" ht="22.5" customHeight="1">
      <c r="A11" s="67">
        <v>1</v>
      </c>
      <c r="B11" s="67" t="s">
        <v>103</v>
      </c>
      <c r="C11" s="177">
        <f>SUM(C12:C15)</f>
        <v>206000</v>
      </c>
      <c r="D11" s="178">
        <f>SUM(D12:D15)</f>
        <v>206000</v>
      </c>
      <c r="E11" s="44">
        <f>SUM(E12:E15)</f>
        <v>252737.61881100002</v>
      </c>
      <c r="F11" s="44">
        <f>SUM(F12:F15)</f>
        <v>252737.61881100002</v>
      </c>
      <c r="G11" s="81">
        <f t="shared" si="0"/>
        <v>1.2268816447135924</v>
      </c>
      <c r="H11" s="81">
        <f t="shared" si="0"/>
        <v>1.2268816447135924</v>
      </c>
      <c r="J11" s="172"/>
      <c r="K11" s="179"/>
      <c r="L11" s="179"/>
    </row>
    <row r="12" spans="1:10" ht="22.5" customHeight="1">
      <c r="A12" s="67"/>
      <c r="B12" s="67" t="s">
        <v>104</v>
      </c>
      <c r="C12" s="159">
        <f>64500</f>
        <v>64500</v>
      </c>
      <c r="D12" s="178">
        <f>C12</f>
        <v>64500</v>
      </c>
      <c r="E12" s="44">
        <v>64610.771899</v>
      </c>
      <c r="F12" s="44">
        <v>64610.771899</v>
      </c>
      <c r="G12" s="81">
        <f aca="true" t="shared" si="1" ref="G12:G60">E12/C12</f>
        <v>1.0017173937829458</v>
      </c>
      <c r="H12" s="81">
        <f aca="true" t="shared" si="2" ref="H12:H60">F12/D12</f>
        <v>1.0017173937829458</v>
      </c>
      <c r="J12" s="172"/>
    </row>
    <row r="13" spans="1:14" ht="22.5" customHeight="1">
      <c r="A13" s="67"/>
      <c r="B13" s="67" t="s">
        <v>353</v>
      </c>
      <c r="C13" s="159">
        <f>5500</f>
        <v>5500</v>
      </c>
      <c r="D13" s="178">
        <f>C13</f>
        <v>5500</v>
      </c>
      <c r="E13" s="160">
        <v>3591.657805</v>
      </c>
      <c r="F13" s="160">
        <v>3591.657805</v>
      </c>
      <c r="G13" s="81">
        <f t="shared" si="1"/>
        <v>0.6530286918181818</v>
      </c>
      <c r="H13" s="81">
        <f t="shared" si="2"/>
        <v>0.6530286918181818</v>
      </c>
      <c r="J13" s="172"/>
      <c r="L13" s="180"/>
      <c r="M13" s="180"/>
      <c r="N13" s="180"/>
    </row>
    <row r="14" spans="1:14" ht="22.5" customHeight="1">
      <c r="A14" s="67"/>
      <c r="B14" s="67" t="s">
        <v>105</v>
      </c>
      <c r="C14" s="159"/>
      <c r="D14" s="178"/>
      <c r="E14" s="44">
        <v>0</v>
      </c>
      <c r="F14" s="44">
        <v>0</v>
      </c>
      <c r="G14" s="81"/>
      <c r="H14" s="81"/>
      <c r="J14" s="172"/>
      <c r="L14" s="180"/>
      <c r="M14" s="180"/>
      <c r="N14" s="180"/>
    </row>
    <row r="15" spans="1:14" ht="22.5" customHeight="1">
      <c r="A15" s="67"/>
      <c r="B15" s="67" t="s">
        <v>106</v>
      </c>
      <c r="C15" s="159">
        <f>136000</f>
        <v>136000</v>
      </c>
      <c r="D15" s="178">
        <f>C15</f>
        <v>136000</v>
      </c>
      <c r="E15" s="44">
        <v>184535.189107</v>
      </c>
      <c r="F15" s="44">
        <v>184535.189107</v>
      </c>
      <c r="G15" s="81">
        <f t="shared" si="1"/>
        <v>1.356876390492647</v>
      </c>
      <c r="H15" s="81">
        <f t="shared" si="2"/>
        <v>1.356876390492647</v>
      </c>
      <c r="J15" s="172"/>
      <c r="L15" s="180"/>
      <c r="M15" s="180"/>
      <c r="N15" s="180"/>
    </row>
    <row r="16" spans="1:14" ht="30" customHeight="1">
      <c r="A16" s="67">
        <v>2</v>
      </c>
      <c r="B16" s="161" t="s">
        <v>107</v>
      </c>
      <c r="C16" s="177">
        <f>SUM(C17:C19)</f>
        <v>22000</v>
      </c>
      <c r="D16" s="178">
        <f>SUM(D17:D19)</f>
        <v>22000</v>
      </c>
      <c r="E16" s="44">
        <f>SUM(E17:E19)</f>
        <v>19390.95092</v>
      </c>
      <c r="F16" s="44">
        <f>SUM(F17:F19)</f>
        <v>19390.95092</v>
      </c>
      <c r="G16" s="81">
        <f t="shared" si="1"/>
        <v>0.88140686</v>
      </c>
      <c r="H16" s="81">
        <f t="shared" si="2"/>
        <v>0.88140686</v>
      </c>
      <c r="J16" s="172"/>
      <c r="L16" s="180"/>
      <c r="M16" s="180"/>
      <c r="N16" s="180"/>
    </row>
    <row r="17" spans="1:12" ht="22.5" customHeight="1">
      <c r="A17" s="67"/>
      <c r="B17" s="162" t="s">
        <v>104</v>
      </c>
      <c r="C17" s="159">
        <v>15500</v>
      </c>
      <c r="D17" s="178">
        <f>C17</f>
        <v>15500</v>
      </c>
      <c r="E17" s="160">
        <v>12397.566218</v>
      </c>
      <c r="F17" s="160">
        <v>12397.566218</v>
      </c>
      <c r="G17" s="81">
        <f t="shared" si="1"/>
        <v>0.7998429818064516</v>
      </c>
      <c r="H17" s="81">
        <f t="shared" si="2"/>
        <v>0.7998429818064516</v>
      </c>
      <c r="J17" s="172"/>
      <c r="K17" s="173"/>
      <c r="L17" s="173"/>
    </row>
    <row r="18" spans="1:12" ht="22.5" customHeight="1">
      <c r="A18" s="67"/>
      <c r="B18" s="162" t="s">
        <v>353</v>
      </c>
      <c r="C18" s="159">
        <v>3500</v>
      </c>
      <c r="D18" s="178">
        <f>C18</f>
        <v>3500</v>
      </c>
      <c r="E18" s="160">
        <v>3517.786372</v>
      </c>
      <c r="F18" s="160">
        <v>3517.786372</v>
      </c>
      <c r="G18" s="81">
        <f t="shared" si="1"/>
        <v>1.0050818205714285</v>
      </c>
      <c r="H18" s="81">
        <f t="shared" si="2"/>
        <v>1.0050818205714285</v>
      </c>
      <c r="J18" s="172"/>
      <c r="L18" s="181"/>
    </row>
    <row r="19" spans="1:12" ht="22.5" customHeight="1">
      <c r="A19" s="67"/>
      <c r="B19" s="162" t="s">
        <v>106</v>
      </c>
      <c r="C19" s="177">
        <v>3000</v>
      </c>
      <c r="D19" s="178">
        <f>C19</f>
        <v>3000</v>
      </c>
      <c r="E19" s="44">
        <v>3475.5983300000003</v>
      </c>
      <c r="F19" s="160">
        <v>3475.5983300000003</v>
      </c>
      <c r="G19" s="81">
        <f t="shared" si="1"/>
        <v>1.1585327766666667</v>
      </c>
      <c r="H19" s="81">
        <f t="shared" si="2"/>
        <v>1.1585327766666667</v>
      </c>
      <c r="J19" s="172"/>
      <c r="L19" s="181"/>
    </row>
    <row r="20" spans="1:12" ht="15.75">
      <c r="A20" s="67">
        <v>3</v>
      </c>
      <c r="B20" s="67" t="s">
        <v>13</v>
      </c>
      <c r="C20" s="177">
        <f>SUM(C21)</f>
        <v>100</v>
      </c>
      <c r="D20" s="178">
        <f>SUM(D21)</f>
        <v>100</v>
      </c>
      <c r="E20" s="44">
        <f>SUM(E21:E22)</f>
        <v>276.836049</v>
      </c>
      <c r="F20" s="44">
        <f>SUM(F21:F22)</f>
        <v>276.836049</v>
      </c>
      <c r="G20" s="81">
        <f t="shared" si="1"/>
        <v>2.76836049</v>
      </c>
      <c r="H20" s="81">
        <f t="shared" si="2"/>
        <v>2.76836049</v>
      </c>
      <c r="J20" s="172"/>
      <c r="K20" s="59"/>
      <c r="L20" s="179"/>
    </row>
    <row r="21" spans="1:12" ht="22.5" customHeight="1">
      <c r="A21" s="67"/>
      <c r="B21" s="67" t="s">
        <v>104</v>
      </c>
      <c r="C21" s="177">
        <v>100</v>
      </c>
      <c r="D21" s="178">
        <f>C21</f>
        <v>100</v>
      </c>
      <c r="E21" s="160">
        <v>204.141882</v>
      </c>
      <c r="F21" s="160">
        <v>204.141882</v>
      </c>
      <c r="G21" s="81">
        <f t="shared" si="1"/>
        <v>2.04141882</v>
      </c>
      <c r="H21" s="81">
        <f t="shared" si="2"/>
        <v>2.04141882</v>
      </c>
      <c r="J21" s="172"/>
      <c r="L21" s="182"/>
    </row>
    <row r="22" spans="1:12" ht="22.5" customHeight="1">
      <c r="A22" s="67"/>
      <c r="B22" s="162" t="s">
        <v>353</v>
      </c>
      <c r="C22" s="177"/>
      <c r="D22" s="178"/>
      <c r="E22" s="44">
        <v>72.694167</v>
      </c>
      <c r="F22" s="44">
        <v>72.694167</v>
      </c>
      <c r="G22" s="81"/>
      <c r="H22" s="81"/>
      <c r="J22" s="172"/>
      <c r="L22" s="181"/>
    </row>
    <row r="23" spans="1:10" ht="22.5" customHeight="1">
      <c r="A23" s="67">
        <v>4</v>
      </c>
      <c r="B23" s="67" t="s">
        <v>14</v>
      </c>
      <c r="C23" s="177">
        <f>SUM(C24:C27)</f>
        <v>364300</v>
      </c>
      <c r="D23" s="178">
        <f>SUM(D24:D27)</f>
        <v>364300</v>
      </c>
      <c r="E23" s="44">
        <f>SUM(E24:E27)</f>
        <v>324220.85600200004</v>
      </c>
      <c r="F23" s="44">
        <f>SUM(F24:F27)</f>
        <v>324220.85600200004</v>
      </c>
      <c r="G23" s="81">
        <f t="shared" si="1"/>
        <v>0.8899831347845184</v>
      </c>
      <c r="H23" s="81">
        <f t="shared" si="2"/>
        <v>0.8899831347845184</v>
      </c>
      <c r="J23" s="172"/>
    </row>
    <row r="24" spans="1:10" ht="22.5" customHeight="1">
      <c r="A24" s="67"/>
      <c r="B24" s="67" t="s">
        <v>104</v>
      </c>
      <c r="C24" s="127">
        <v>311300</v>
      </c>
      <c r="D24" s="178">
        <v>311300</v>
      </c>
      <c r="E24" s="44">
        <v>248658.841144</v>
      </c>
      <c r="F24" s="44">
        <v>248658.841144</v>
      </c>
      <c r="G24" s="81">
        <f t="shared" si="1"/>
        <v>0.7987755899261163</v>
      </c>
      <c r="H24" s="81">
        <f t="shared" si="2"/>
        <v>0.7987755899261163</v>
      </c>
      <c r="J24" s="172"/>
    </row>
    <row r="25" spans="1:10" ht="22.5" customHeight="1">
      <c r="A25" s="67"/>
      <c r="B25" s="67" t="s">
        <v>353</v>
      </c>
      <c r="C25" s="127">
        <v>14000</v>
      </c>
      <c r="D25" s="178">
        <f>C25</f>
        <v>14000</v>
      </c>
      <c r="E25" s="44">
        <v>20449.994756</v>
      </c>
      <c r="F25" s="44">
        <v>20449.994756</v>
      </c>
      <c r="G25" s="81">
        <f t="shared" si="1"/>
        <v>1.460713911142857</v>
      </c>
      <c r="H25" s="81">
        <f t="shared" si="2"/>
        <v>1.460713911142857</v>
      </c>
      <c r="J25" s="172"/>
    </row>
    <row r="26" spans="1:10" ht="22.5" customHeight="1">
      <c r="A26" s="67"/>
      <c r="B26" s="67" t="s">
        <v>105</v>
      </c>
      <c r="C26" s="127">
        <v>200</v>
      </c>
      <c r="D26" s="178">
        <f>C26</f>
        <v>200</v>
      </c>
      <c r="E26" s="44">
        <v>469.02888899999994</v>
      </c>
      <c r="F26" s="44">
        <v>469.02888899999994</v>
      </c>
      <c r="G26" s="81">
        <f t="shared" si="1"/>
        <v>2.345144445</v>
      </c>
      <c r="H26" s="81">
        <f t="shared" si="2"/>
        <v>2.345144445</v>
      </c>
      <c r="J26" s="172"/>
    </row>
    <row r="27" spans="1:10" ht="22.5" customHeight="1">
      <c r="A27" s="67"/>
      <c r="B27" s="67" t="s">
        <v>106</v>
      </c>
      <c r="C27" s="127">
        <v>38800</v>
      </c>
      <c r="D27" s="178">
        <v>38800</v>
      </c>
      <c r="E27" s="44">
        <v>54642.991213</v>
      </c>
      <c r="F27" s="44">
        <v>54642.991213</v>
      </c>
      <c r="G27" s="81">
        <f t="shared" si="1"/>
        <v>1.408324515798969</v>
      </c>
      <c r="H27" s="81">
        <f t="shared" si="2"/>
        <v>1.408324515798969</v>
      </c>
      <c r="J27" s="172"/>
    </row>
    <row r="28" spans="1:10" ht="22.5" customHeight="1">
      <c r="A28" s="29">
        <v>5</v>
      </c>
      <c r="B28" s="67" t="s">
        <v>131</v>
      </c>
      <c r="C28" s="177">
        <v>44000</v>
      </c>
      <c r="D28" s="178">
        <f>C28</f>
        <v>44000</v>
      </c>
      <c r="E28" s="44">
        <v>43004.923347</v>
      </c>
      <c r="F28" s="44">
        <v>43004.923347</v>
      </c>
      <c r="G28" s="81">
        <f t="shared" si="1"/>
        <v>0.9773846215227273</v>
      </c>
      <c r="H28" s="81">
        <f t="shared" si="2"/>
        <v>0.9773846215227273</v>
      </c>
      <c r="J28" s="172"/>
    </row>
    <row r="29" spans="1:10" ht="22.5" customHeight="1">
      <c r="A29" s="29">
        <v>6</v>
      </c>
      <c r="B29" s="67" t="s">
        <v>132</v>
      </c>
      <c r="C29" s="177">
        <f>SUM(C30:C31)</f>
        <v>128000</v>
      </c>
      <c r="D29" s="178">
        <f>D31</f>
        <v>47600</v>
      </c>
      <c r="E29" s="44">
        <f>SUM(E30:E31)</f>
        <v>118666.418653</v>
      </c>
      <c r="F29" s="44">
        <f>SUM(F30:F31)</f>
        <v>44183.823501000006</v>
      </c>
      <c r="G29" s="81">
        <f t="shared" si="1"/>
        <v>0.9270813957265625</v>
      </c>
      <c r="H29" s="81">
        <f t="shared" si="2"/>
        <v>0.9282315861554623</v>
      </c>
      <c r="J29" s="172"/>
    </row>
    <row r="30" spans="1:10" ht="15.75">
      <c r="A30" s="29"/>
      <c r="B30" s="183" t="s">
        <v>374</v>
      </c>
      <c r="C30" s="184">
        <v>80400</v>
      </c>
      <c r="D30" s="178"/>
      <c r="E30" s="185">
        <v>74482.595152</v>
      </c>
      <c r="F30" s="185"/>
      <c r="G30" s="81">
        <f t="shared" si="1"/>
        <v>0.9264004372139303</v>
      </c>
      <c r="H30" s="81"/>
      <c r="J30" s="172"/>
    </row>
    <row r="31" spans="1:12" ht="33.75" customHeight="1">
      <c r="A31" s="29"/>
      <c r="B31" s="183" t="s">
        <v>247</v>
      </c>
      <c r="C31" s="184">
        <v>47600</v>
      </c>
      <c r="D31" s="186">
        <v>47600</v>
      </c>
      <c r="E31" s="187">
        <v>44183.823501000006</v>
      </c>
      <c r="F31" s="187">
        <v>44183.823501000006</v>
      </c>
      <c r="G31" s="81">
        <f t="shared" si="1"/>
        <v>0.9282315861554623</v>
      </c>
      <c r="H31" s="81">
        <f t="shared" si="2"/>
        <v>0.9282315861554623</v>
      </c>
      <c r="J31" s="172"/>
      <c r="L31" s="183"/>
    </row>
    <row r="32" spans="1:10" ht="22.5" customHeight="1">
      <c r="A32" s="29">
        <v>7</v>
      </c>
      <c r="B32" s="67" t="s">
        <v>288</v>
      </c>
      <c r="C32" s="127">
        <v>66000</v>
      </c>
      <c r="D32" s="178">
        <f>C32</f>
        <v>66000</v>
      </c>
      <c r="E32" s="44">
        <v>62620.83363</v>
      </c>
      <c r="F32" s="44">
        <v>62620.83363</v>
      </c>
      <c r="G32" s="81">
        <f t="shared" si="1"/>
        <v>0.9488005095454546</v>
      </c>
      <c r="H32" s="81">
        <f t="shared" si="2"/>
        <v>0.9488005095454546</v>
      </c>
      <c r="J32" s="172"/>
    </row>
    <row r="33" spans="1:12" ht="22.5" customHeight="1">
      <c r="A33" s="29">
        <v>8</v>
      </c>
      <c r="B33" s="67" t="s">
        <v>232</v>
      </c>
      <c r="C33" s="127">
        <v>30000</v>
      </c>
      <c r="D33" s="178">
        <f>SUM(D35)</f>
        <v>25000</v>
      </c>
      <c r="E33" s="44">
        <f>SUM(E34:E37)</f>
        <v>33442.027255</v>
      </c>
      <c r="F33" s="44">
        <f>SUM(F34:F37)</f>
        <v>28058.054125000002</v>
      </c>
      <c r="G33" s="81">
        <f t="shared" si="1"/>
        <v>1.1147342418333335</v>
      </c>
      <c r="H33" s="81">
        <f t="shared" si="2"/>
        <v>1.1223221650000001</v>
      </c>
      <c r="J33" s="172"/>
      <c r="L33" s="188"/>
    </row>
    <row r="34" spans="1:10" ht="22.5" customHeight="1">
      <c r="A34" s="29"/>
      <c r="B34" s="183" t="s">
        <v>117</v>
      </c>
      <c r="C34" s="163">
        <v>5000</v>
      </c>
      <c r="D34" s="178"/>
      <c r="E34" s="44">
        <f>5383.57313+0.4</f>
        <v>5383.973129999999</v>
      </c>
      <c r="F34" s="44"/>
      <c r="G34" s="81">
        <f t="shared" si="1"/>
        <v>1.0767946259999999</v>
      </c>
      <c r="H34" s="81"/>
      <c r="J34" s="172"/>
    </row>
    <row r="35" spans="1:10" ht="22.5" customHeight="1">
      <c r="A35" s="29"/>
      <c r="B35" s="183" t="s">
        <v>118</v>
      </c>
      <c r="C35" s="369">
        <v>25000</v>
      </c>
      <c r="D35" s="366">
        <f>C35</f>
        <v>25000</v>
      </c>
      <c r="E35" s="44">
        <v>4667.54484</v>
      </c>
      <c r="F35" s="44">
        <v>4667.54484</v>
      </c>
      <c r="G35" s="81">
        <f t="shared" si="1"/>
        <v>0.18670179359999997</v>
      </c>
      <c r="H35" s="81">
        <f t="shared" si="2"/>
        <v>0.18670179359999997</v>
      </c>
      <c r="J35" s="172"/>
    </row>
    <row r="36" spans="1:10" ht="22.5" customHeight="1">
      <c r="A36" s="29"/>
      <c r="B36" s="183" t="s">
        <v>119</v>
      </c>
      <c r="C36" s="369"/>
      <c r="D36" s="367"/>
      <c r="E36" s="44">
        <v>18193.372868000002</v>
      </c>
      <c r="F36" s="44">
        <v>18193.372868000002</v>
      </c>
      <c r="G36" s="81"/>
      <c r="H36" s="81"/>
      <c r="J36" s="172"/>
    </row>
    <row r="37" spans="1:10" ht="22.5" customHeight="1">
      <c r="A37" s="29"/>
      <c r="B37" s="183" t="s">
        <v>120</v>
      </c>
      <c r="C37" s="369"/>
      <c r="D37" s="368"/>
      <c r="E37" s="44">
        <v>5197.136417</v>
      </c>
      <c r="F37" s="44">
        <v>5197.136417</v>
      </c>
      <c r="G37" s="81"/>
      <c r="H37" s="81"/>
      <c r="J37" s="172"/>
    </row>
    <row r="38" spans="1:10" ht="22.5" customHeight="1">
      <c r="A38" s="29">
        <v>9</v>
      </c>
      <c r="B38" s="67" t="s">
        <v>275</v>
      </c>
      <c r="C38" s="177"/>
      <c r="D38" s="178"/>
      <c r="E38" s="44"/>
      <c r="F38" s="44"/>
      <c r="G38" s="81"/>
      <c r="H38" s="81"/>
      <c r="J38" s="172"/>
    </row>
    <row r="39" spans="1:10" ht="22.5" customHeight="1">
      <c r="A39" s="29">
        <v>10</v>
      </c>
      <c r="B39" s="67" t="s">
        <v>276</v>
      </c>
      <c r="C39" s="127">
        <v>1500</v>
      </c>
      <c r="D39" s="178">
        <f aca="true" t="shared" si="3" ref="D39:D51">C39</f>
        <v>1500</v>
      </c>
      <c r="E39" s="44">
        <v>2365.515936</v>
      </c>
      <c r="F39" s="44">
        <v>2365.515936</v>
      </c>
      <c r="G39" s="81">
        <f t="shared" si="1"/>
        <v>1.577010624</v>
      </c>
      <c r="H39" s="81">
        <f t="shared" si="2"/>
        <v>1.577010624</v>
      </c>
      <c r="J39" s="172"/>
    </row>
    <row r="40" spans="1:10" ht="22.5" customHeight="1">
      <c r="A40" s="29">
        <v>11</v>
      </c>
      <c r="B40" s="67" t="s">
        <v>233</v>
      </c>
      <c r="C40" s="127">
        <v>27000</v>
      </c>
      <c r="D40" s="178">
        <f t="shared" si="3"/>
        <v>27000</v>
      </c>
      <c r="E40" s="44">
        <v>28866.232</v>
      </c>
      <c r="F40" s="44">
        <v>28866.232</v>
      </c>
      <c r="G40" s="81">
        <f t="shared" si="1"/>
        <v>1.0691197037037037</v>
      </c>
      <c r="H40" s="81">
        <f t="shared" si="2"/>
        <v>1.0691197037037037</v>
      </c>
      <c r="J40" s="172"/>
    </row>
    <row r="41" spans="1:10" ht="22.5" customHeight="1">
      <c r="A41" s="29">
        <v>12</v>
      </c>
      <c r="B41" s="67" t="s">
        <v>234</v>
      </c>
      <c r="C41" s="177">
        <v>95000</v>
      </c>
      <c r="D41" s="178">
        <v>95000</v>
      </c>
      <c r="E41" s="44">
        <v>177226.304212</v>
      </c>
      <c r="F41" s="44">
        <v>177226.304212</v>
      </c>
      <c r="G41" s="81">
        <f t="shared" si="1"/>
        <v>1.865540044336842</v>
      </c>
      <c r="H41" s="81">
        <f t="shared" si="2"/>
        <v>1.865540044336842</v>
      </c>
      <c r="J41" s="172"/>
    </row>
    <row r="42" spans="1:10" ht="24" customHeight="1">
      <c r="A42" s="29">
        <v>13</v>
      </c>
      <c r="B42" s="67" t="s">
        <v>244</v>
      </c>
      <c r="C42" s="127">
        <v>400</v>
      </c>
      <c r="D42" s="178">
        <f t="shared" si="3"/>
        <v>400</v>
      </c>
      <c r="E42" s="44">
        <v>819.65</v>
      </c>
      <c r="F42" s="44">
        <v>819.65</v>
      </c>
      <c r="G42" s="81">
        <f t="shared" si="1"/>
        <v>2.049125</v>
      </c>
      <c r="H42" s="81">
        <f t="shared" si="2"/>
        <v>2.049125</v>
      </c>
      <c r="J42" s="172"/>
    </row>
    <row r="43" spans="1:10" ht="22.5" customHeight="1">
      <c r="A43" s="29">
        <v>14</v>
      </c>
      <c r="B43" s="67" t="s">
        <v>245</v>
      </c>
      <c r="C43" s="127">
        <v>20000</v>
      </c>
      <c r="D43" s="178">
        <f t="shared" si="3"/>
        <v>20000</v>
      </c>
      <c r="E43" s="44">
        <f>SUM(E44:E48)</f>
        <v>30375.057304</v>
      </c>
      <c r="F43" s="44">
        <f>SUM(F44:F48)</f>
        <v>30375.057304</v>
      </c>
      <c r="G43" s="81">
        <f t="shared" si="1"/>
        <v>1.5187528652000002</v>
      </c>
      <c r="H43" s="81">
        <f t="shared" si="2"/>
        <v>1.5187528652000002</v>
      </c>
      <c r="J43" s="172"/>
    </row>
    <row r="44" spans="1:10" ht="22.5" customHeight="1">
      <c r="A44" s="67"/>
      <c r="B44" s="67" t="s">
        <v>104</v>
      </c>
      <c r="C44" s="177"/>
      <c r="D44" s="178"/>
      <c r="E44" s="44">
        <v>12072.480725</v>
      </c>
      <c r="F44" s="44">
        <v>12072.480725</v>
      </c>
      <c r="G44" s="81"/>
      <c r="H44" s="81"/>
      <c r="J44" s="172"/>
    </row>
    <row r="45" spans="1:10" ht="22.5" customHeight="1">
      <c r="A45" s="67"/>
      <c r="B45" s="67" t="s">
        <v>353</v>
      </c>
      <c r="C45" s="177"/>
      <c r="D45" s="178"/>
      <c r="E45" s="44">
        <v>1070.924333</v>
      </c>
      <c r="F45" s="44">
        <v>1070.924333</v>
      </c>
      <c r="G45" s="81"/>
      <c r="H45" s="81"/>
      <c r="J45" s="172"/>
    </row>
    <row r="46" spans="1:10" ht="22.5" customHeight="1">
      <c r="A46" s="67"/>
      <c r="B46" s="183" t="s">
        <v>121</v>
      </c>
      <c r="C46" s="177"/>
      <c r="D46" s="178"/>
      <c r="E46" s="44">
        <v>1344.806734</v>
      </c>
      <c r="F46" s="44">
        <v>1344.806734</v>
      </c>
      <c r="G46" s="81"/>
      <c r="H46" s="81"/>
      <c r="J46" s="172"/>
    </row>
    <row r="47" spans="1:10" ht="22.5" customHeight="1">
      <c r="A47" s="67"/>
      <c r="B47" s="183" t="s">
        <v>105</v>
      </c>
      <c r="C47" s="177"/>
      <c r="D47" s="178"/>
      <c r="E47" s="44">
        <v>15836.153715</v>
      </c>
      <c r="F47" s="44">
        <v>15836.153715</v>
      </c>
      <c r="G47" s="81"/>
      <c r="H47" s="81"/>
      <c r="J47" s="172"/>
    </row>
    <row r="48" spans="1:10" ht="22.5" customHeight="1">
      <c r="A48" s="67"/>
      <c r="B48" s="67" t="s">
        <v>15</v>
      </c>
      <c r="C48" s="177"/>
      <c r="D48" s="178"/>
      <c r="E48" s="44">
        <v>50.691797</v>
      </c>
      <c r="F48" s="44">
        <v>50.691797</v>
      </c>
      <c r="G48" s="81"/>
      <c r="H48" s="81"/>
      <c r="J48" s="172"/>
    </row>
    <row r="49" spans="1:10" ht="22.5" customHeight="1">
      <c r="A49" s="29">
        <v>15</v>
      </c>
      <c r="B49" s="67" t="s">
        <v>277</v>
      </c>
      <c r="C49" s="127">
        <v>8000</v>
      </c>
      <c r="D49" s="178">
        <f t="shared" si="3"/>
        <v>8000</v>
      </c>
      <c r="E49" s="44">
        <v>15766.861793</v>
      </c>
      <c r="F49" s="44">
        <v>13332.481593</v>
      </c>
      <c r="G49" s="81">
        <f t="shared" si="1"/>
        <v>1.970857724125</v>
      </c>
      <c r="H49" s="81">
        <f t="shared" si="2"/>
        <v>1.666560199125</v>
      </c>
      <c r="J49" s="172"/>
    </row>
    <row r="50" spans="1:10" ht="22.5" customHeight="1">
      <c r="A50" s="29">
        <v>16</v>
      </c>
      <c r="B50" s="67" t="s">
        <v>278</v>
      </c>
      <c r="C50" s="177">
        <v>13700</v>
      </c>
      <c r="D50" s="178">
        <v>3500</v>
      </c>
      <c r="E50" s="44">
        <v>46870.728907000004</v>
      </c>
      <c r="F50" s="44">
        <f>46870.728907-16306.314994</f>
        <v>30564.413912999997</v>
      </c>
      <c r="G50" s="81">
        <f t="shared" si="1"/>
        <v>3.42122108810219</v>
      </c>
      <c r="H50" s="81">
        <f t="shared" si="2"/>
        <v>8.73268968942857</v>
      </c>
      <c r="J50" s="172"/>
    </row>
    <row r="51" spans="1:10" ht="22.5" customHeight="1">
      <c r="A51" s="29">
        <v>17</v>
      </c>
      <c r="B51" s="67" t="s">
        <v>345</v>
      </c>
      <c r="C51" s="127">
        <v>4000</v>
      </c>
      <c r="D51" s="178">
        <f t="shared" si="3"/>
        <v>4000</v>
      </c>
      <c r="E51" s="44">
        <v>3322.96266</v>
      </c>
      <c r="F51" s="44">
        <v>3322.96266</v>
      </c>
      <c r="G51" s="81">
        <f t="shared" si="1"/>
        <v>0.830740665</v>
      </c>
      <c r="H51" s="81">
        <f t="shared" si="2"/>
        <v>0.830740665</v>
      </c>
      <c r="J51" s="172"/>
    </row>
    <row r="52" spans="1:8" ht="22.5" customHeight="1">
      <c r="A52" s="29">
        <v>18</v>
      </c>
      <c r="B52" s="67" t="s">
        <v>346</v>
      </c>
      <c r="C52" s="177"/>
      <c r="D52" s="178"/>
      <c r="E52" s="44">
        <v>249.954429</v>
      </c>
      <c r="F52" s="44">
        <v>249.954429</v>
      </c>
      <c r="G52" s="81"/>
      <c r="H52" s="81"/>
    </row>
    <row r="53" spans="1:11" s="121" customFormat="1" ht="22.5" customHeight="1">
      <c r="A53" s="174" t="s">
        <v>87</v>
      </c>
      <c r="B53" s="64" t="s">
        <v>347</v>
      </c>
      <c r="C53" s="175">
        <f>SUM(C54:C59)</f>
        <v>9000</v>
      </c>
      <c r="D53" s="176">
        <f>SUM(D54:D59)</f>
        <v>0</v>
      </c>
      <c r="E53" s="43">
        <f>SUM(E54:E59)</f>
        <v>17623.445679</v>
      </c>
      <c r="F53" s="43">
        <f>SUM(F54:F59)</f>
        <v>0</v>
      </c>
      <c r="G53" s="80">
        <f t="shared" si="1"/>
        <v>1.9581606310000002</v>
      </c>
      <c r="H53" s="81"/>
      <c r="K53" s="189"/>
    </row>
    <row r="54" spans="1:8" ht="22.5" customHeight="1">
      <c r="A54" s="29">
        <v>1</v>
      </c>
      <c r="B54" s="67" t="s">
        <v>17</v>
      </c>
      <c r="C54" s="159"/>
      <c r="D54" s="178"/>
      <c r="E54" s="44"/>
      <c r="F54" s="44"/>
      <c r="G54" s="81"/>
      <c r="H54" s="81"/>
    </row>
    <row r="55" spans="1:8" ht="22.5" customHeight="1">
      <c r="A55" s="29">
        <v>2</v>
      </c>
      <c r="B55" s="67" t="s">
        <v>279</v>
      </c>
      <c r="C55" s="159">
        <v>850</v>
      </c>
      <c r="D55" s="178"/>
      <c r="E55" s="44">
        <v>29.763</v>
      </c>
      <c r="F55" s="44"/>
      <c r="G55" s="81">
        <f t="shared" si="1"/>
        <v>0.03501529411764706</v>
      </c>
      <c r="H55" s="81"/>
    </row>
    <row r="56" spans="1:8" ht="22.5" customHeight="1">
      <c r="A56" s="29">
        <v>3</v>
      </c>
      <c r="B56" s="67" t="s">
        <v>348</v>
      </c>
      <c r="C56" s="177"/>
      <c r="D56" s="178"/>
      <c r="E56" s="44">
        <v>988.928757</v>
      </c>
      <c r="F56" s="44"/>
      <c r="G56" s="81"/>
      <c r="H56" s="81"/>
    </row>
    <row r="57" spans="1:8" ht="35.25" customHeight="1">
      <c r="A57" s="29">
        <v>4</v>
      </c>
      <c r="B57" s="67" t="s">
        <v>349</v>
      </c>
      <c r="C57" s="177"/>
      <c r="D57" s="178"/>
      <c r="E57" s="44"/>
      <c r="F57" s="44"/>
      <c r="G57" s="81"/>
      <c r="H57" s="81"/>
    </row>
    <row r="58" spans="1:8" ht="22.5" customHeight="1">
      <c r="A58" s="29">
        <v>5</v>
      </c>
      <c r="B58" s="67" t="s">
        <v>350</v>
      </c>
      <c r="C58" s="159">
        <v>8150</v>
      </c>
      <c r="D58" s="178"/>
      <c r="E58" s="44">
        <v>16522.948487</v>
      </c>
      <c r="F58" s="44"/>
      <c r="G58" s="81">
        <f t="shared" si="1"/>
        <v>2.0273556425766874</v>
      </c>
      <c r="H58" s="81"/>
    </row>
    <row r="59" spans="1:8" ht="22.5" customHeight="1">
      <c r="A59" s="29">
        <v>6</v>
      </c>
      <c r="B59" s="67" t="s">
        <v>280</v>
      </c>
      <c r="C59" s="177"/>
      <c r="D59" s="178"/>
      <c r="E59" s="44">
        <v>81.805435</v>
      </c>
      <c r="F59" s="44"/>
      <c r="G59" s="81"/>
      <c r="H59" s="81"/>
    </row>
    <row r="60" spans="1:11" s="121" customFormat="1" ht="22.5" customHeight="1">
      <c r="A60" s="174" t="s">
        <v>88</v>
      </c>
      <c r="B60" s="64" t="s">
        <v>281</v>
      </c>
      <c r="C60" s="241">
        <v>39094</v>
      </c>
      <c r="D60" s="242">
        <v>39094</v>
      </c>
      <c r="E60" s="43">
        <v>18771.977720000003</v>
      </c>
      <c r="F60" s="43">
        <v>14590.564877</v>
      </c>
      <c r="G60" s="80">
        <f t="shared" si="1"/>
        <v>0.4801754161763954</v>
      </c>
      <c r="H60" s="80">
        <f t="shared" si="2"/>
        <v>0.3732174982606027</v>
      </c>
      <c r="K60" s="189"/>
    </row>
    <row r="61" spans="1:11" s="121" customFormat="1" ht="22.5" customHeight="1">
      <c r="A61" s="174" t="s">
        <v>89</v>
      </c>
      <c r="B61" s="64" t="s">
        <v>307</v>
      </c>
      <c r="C61" s="175"/>
      <c r="D61" s="176"/>
      <c r="E61" s="43">
        <v>50939.27501</v>
      </c>
      <c r="F61" s="43">
        <v>50939.27501</v>
      </c>
      <c r="G61" s="81"/>
      <c r="H61" s="81"/>
      <c r="K61" s="189"/>
    </row>
    <row r="62" spans="1:11" s="121" customFormat="1" ht="22.5" customHeight="1">
      <c r="A62" s="174" t="s">
        <v>84</v>
      </c>
      <c r="B62" s="64" t="s">
        <v>393</v>
      </c>
      <c r="C62" s="175">
        <v>22400</v>
      </c>
      <c r="D62" s="175">
        <v>22400</v>
      </c>
      <c r="E62" s="43">
        <v>13605.51</v>
      </c>
      <c r="F62" s="43">
        <v>13605.51</v>
      </c>
      <c r="G62" s="81"/>
      <c r="H62" s="81"/>
      <c r="K62" s="189"/>
    </row>
    <row r="63" spans="1:11" s="121" customFormat="1" ht="22.5" customHeight="1">
      <c r="A63" s="174" t="s">
        <v>90</v>
      </c>
      <c r="B63" s="64" t="s">
        <v>351</v>
      </c>
      <c r="C63" s="175"/>
      <c r="D63" s="176"/>
      <c r="E63" s="43">
        <v>5355.573077</v>
      </c>
      <c r="F63" s="43">
        <v>5355.573077</v>
      </c>
      <c r="G63" s="81"/>
      <c r="H63" s="81"/>
      <c r="K63" s="189"/>
    </row>
    <row r="64" spans="1:11" s="121" customFormat="1" ht="31.5">
      <c r="A64" s="174" t="s">
        <v>92</v>
      </c>
      <c r="B64" s="64" t="s">
        <v>352</v>
      </c>
      <c r="C64" s="175"/>
      <c r="D64" s="176"/>
      <c r="E64" s="43">
        <v>1771731.919738</v>
      </c>
      <c r="F64" s="43">
        <v>1771731.919738</v>
      </c>
      <c r="G64" s="81"/>
      <c r="H64" s="81"/>
      <c r="K64" s="189"/>
    </row>
    <row r="65" spans="1:11" s="121" customFormat="1" ht="34.5" customHeight="1">
      <c r="A65" s="190" t="s">
        <v>97</v>
      </c>
      <c r="B65" s="191" t="s">
        <v>122</v>
      </c>
      <c r="C65" s="192"/>
      <c r="D65" s="193"/>
      <c r="E65" s="194">
        <v>280201</v>
      </c>
      <c r="F65" s="194">
        <f>280200.56317-141057.902598</f>
        <v>139142.660572</v>
      </c>
      <c r="G65" s="196"/>
      <c r="H65" s="196"/>
      <c r="K65" s="189"/>
    </row>
    <row r="66" ht="21" customHeight="1">
      <c r="A66" s="195"/>
    </row>
    <row r="67" spans="1:8" ht="36.75" customHeight="1">
      <c r="A67" s="365"/>
      <c r="B67" s="365"/>
      <c r="C67" s="365"/>
      <c r="D67" s="365"/>
      <c r="E67" s="365"/>
      <c r="F67" s="365"/>
      <c r="G67" s="365"/>
      <c r="H67" s="365"/>
    </row>
    <row r="68" spans="1:8" ht="36.75" customHeight="1">
      <c r="A68" s="365"/>
      <c r="B68" s="365"/>
      <c r="C68" s="365"/>
      <c r="D68" s="365"/>
      <c r="E68" s="365"/>
      <c r="F68" s="365"/>
      <c r="G68" s="365"/>
      <c r="H68" s="365"/>
    </row>
    <row r="69" spans="1:8" ht="49.5" customHeight="1">
      <c r="A69" s="365"/>
      <c r="B69" s="365"/>
      <c r="C69" s="365"/>
      <c r="D69" s="365"/>
      <c r="E69" s="365"/>
      <c r="F69" s="365"/>
      <c r="G69" s="365"/>
      <c r="H69" s="365"/>
    </row>
    <row r="70" spans="1:8" ht="49.5" customHeight="1">
      <c r="A70" s="365"/>
      <c r="B70" s="365"/>
      <c r="C70" s="365"/>
      <c r="D70" s="365"/>
      <c r="E70" s="365"/>
      <c r="F70" s="365"/>
      <c r="G70" s="365"/>
      <c r="H70" s="365"/>
    </row>
    <row r="71" spans="1:8" ht="69.75" customHeight="1">
      <c r="A71" s="365"/>
      <c r="B71" s="365"/>
      <c r="C71" s="365"/>
      <c r="D71" s="365"/>
      <c r="E71" s="365"/>
      <c r="F71" s="365"/>
      <c r="G71" s="365"/>
      <c r="H71" s="365"/>
    </row>
  </sheetData>
  <sheetProtection/>
  <mergeCells count="16">
    <mergeCell ref="G1:H1"/>
    <mergeCell ref="A2:H2"/>
    <mergeCell ref="A3:H3"/>
    <mergeCell ref="A5:A6"/>
    <mergeCell ref="B5:B6"/>
    <mergeCell ref="C5:D5"/>
    <mergeCell ref="E5:F5"/>
    <mergeCell ref="G5:H5"/>
    <mergeCell ref="F4:H4"/>
    <mergeCell ref="A71:H71"/>
    <mergeCell ref="D35:D37"/>
    <mergeCell ref="A67:H67"/>
    <mergeCell ref="A68:H68"/>
    <mergeCell ref="A69:H69"/>
    <mergeCell ref="A70:H70"/>
    <mergeCell ref="C35:C37"/>
  </mergeCells>
  <printOptions horizontalCentered="1"/>
  <pageMargins left="0" right="0" top="0.7086614173228347" bottom="0"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0"/>
  </sheetPr>
  <dimension ref="A1:K79"/>
  <sheetViews>
    <sheetView zoomScalePageLayoutView="0" workbookViewId="0" topLeftCell="A1">
      <pane xSplit="2" ySplit="8" topLeftCell="C9" activePane="bottomRight" state="frozen"/>
      <selection pane="topLeft" activeCell="A1" sqref="A1"/>
      <selection pane="topRight" activeCell="C1" sqref="C1"/>
      <selection pane="bottomLeft" activeCell="A7" sqref="A7"/>
      <selection pane="bottomRight" activeCell="A4" sqref="A4"/>
    </sheetView>
  </sheetViews>
  <sheetFormatPr defaultColWidth="9.140625" defaultRowHeight="15"/>
  <cols>
    <col min="1" max="1" width="6.421875" style="59" customWidth="1"/>
    <col min="2" max="2" width="67.421875" style="59" customWidth="1"/>
    <col min="3" max="3" width="14.00390625" style="59" customWidth="1"/>
    <col min="4" max="4" width="17.8515625" style="59" customWidth="1"/>
    <col min="5" max="5" width="14.7109375" style="59" customWidth="1"/>
    <col min="6" max="6" width="20.00390625" style="133" bestFit="1" customWidth="1"/>
    <col min="7" max="7" width="16.8515625" style="59" bestFit="1" customWidth="1"/>
    <col min="8" max="8" width="20.00390625" style="59" customWidth="1"/>
    <col min="9" max="9" width="9.140625" style="59" customWidth="1"/>
    <col min="10" max="10" width="11.28125" style="59" bestFit="1" customWidth="1"/>
    <col min="11" max="11" width="9.28125" style="59" bestFit="1" customWidth="1"/>
    <col min="12" max="16384" width="9.140625" style="59" customWidth="1"/>
  </cols>
  <sheetData>
    <row r="1" spans="4:5" ht="20.25" customHeight="1">
      <c r="D1" s="370" t="s">
        <v>172</v>
      </c>
      <c r="E1" s="370"/>
    </row>
    <row r="2" spans="1:5" ht="25.5" customHeight="1">
      <c r="A2" s="371" t="s">
        <v>267</v>
      </c>
      <c r="B2" s="371"/>
      <c r="C2" s="371"/>
      <c r="D2" s="371"/>
      <c r="E2" s="371"/>
    </row>
    <row r="3" spans="1:8" ht="32.25" customHeight="1">
      <c r="A3" s="379" t="s">
        <v>431</v>
      </c>
      <c r="B3" s="379"/>
      <c r="C3" s="379"/>
      <c r="D3" s="379"/>
      <c r="E3" s="379"/>
      <c r="F3" s="201"/>
      <c r="G3" s="201"/>
      <c r="H3" s="201"/>
    </row>
    <row r="4" spans="1:6" ht="18.75">
      <c r="A4" s="165"/>
      <c r="B4" s="165"/>
      <c r="C4" s="165"/>
      <c r="D4" s="165"/>
      <c r="E4" s="165"/>
      <c r="F4" s="202"/>
    </row>
    <row r="5" spans="3:5" ht="15.75">
      <c r="C5" s="60"/>
      <c r="E5" s="61" t="s">
        <v>85</v>
      </c>
    </row>
    <row r="6" spans="1:5" ht="15.75" customHeight="1">
      <c r="A6" s="375" t="s">
        <v>389</v>
      </c>
      <c r="B6" s="375" t="s">
        <v>363</v>
      </c>
      <c r="C6" s="377" t="s">
        <v>116</v>
      </c>
      <c r="D6" s="375" t="s">
        <v>208</v>
      </c>
      <c r="E6" s="377" t="s">
        <v>181</v>
      </c>
    </row>
    <row r="7" spans="1:5" ht="41.25" customHeight="1">
      <c r="A7" s="376"/>
      <c r="B7" s="376"/>
      <c r="C7" s="378"/>
      <c r="D7" s="376"/>
      <c r="E7" s="378"/>
    </row>
    <row r="8" spans="1:8" ht="15.75">
      <c r="A8" s="63">
        <v>1</v>
      </c>
      <c r="B8" s="63">
        <v>2</v>
      </c>
      <c r="C8" s="63">
        <v>3</v>
      </c>
      <c r="D8" s="63">
        <v>4</v>
      </c>
      <c r="E8" s="63" t="s">
        <v>304</v>
      </c>
      <c r="H8" s="179"/>
    </row>
    <row r="9" spans="1:8" ht="24" customHeight="1">
      <c r="A9" s="36"/>
      <c r="B9" s="37" t="s">
        <v>215</v>
      </c>
      <c r="C9" s="64">
        <f>SUM(C10,C26)</f>
        <v>9061427</v>
      </c>
      <c r="D9" s="65">
        <f>SUM(D10,D26,D77,D78,D79)</f>
        <v>11569312.836047</v>
      </c>
      <c r="E9" s="66">
        <f aca="true" t="shared" si="0" ref="E9:E14">D9/C9</f>
        <v>1.276764999160397</v>
      </c>
      <c r="G9" s="79"/>
      <c r="H9" s="79"/>
    </row>
    <row r="10" spans="1:5" ht="15.75">
      <c r="A10" s="36" t="s">
        <v>83</v>
      </c>
      <c r="B10" s="37" t="s">
        <v>216</v>
      </c>
      <c r="C10" s="64">
        <f>SUM(C11,C18,C22,C23:C25)</f>
        <v>7042189</v>
      </c>
      <c r="D10" s="65">
        <f>SUM(D11,D18,D22,D23:D25)</f>
        <v>7198341.281041</v>
      </c>
      <c r="E10" s="66">
        <f t="shared" si="0"/>
        <v>1.0221738270644256</v>
      </c>
    </row>
    <row r="11" spans="1:5" ht="15.75">
      <c r="A11" s="36" t="s">
        <v>91</v>
      </c>
      <c r="B11" s="37" t="s">
        <v>272</v>
      </c>
      <c r="C11" s="64">
        <f>SUM(C12:C17)</f>
        <v>706136</v>
      </c>
      <c r="D11" s="65">
        <f>SUM(D12:D17)</f>
        <v>670972.8222330001</v>
      </c>
      <c r="E11" s="66">
        <f t="shared" si="0"/>
        <v>0.9502033917446499</v>
      </c>
    </row>
    <row r="12" spans="1:5" ht="15.75">
      <c r="A12" s="34">
        <v>1</v>
      </c>
      <c r="B12" s="35" t="s">
        <v>174</v>
      </c>
      <c r="C12" s="67">
        <v>591136</v>
      </c>
      <c r="D12" s="68">
        <v>506760.588223</v>
      </c>
      <c r="E12" s="69">
        <f t="shared" si="0"/>
        <v>0.8572656515979402</v>
      </c>
    </row>
    <row r="13" spans="1:5" ht="15.75">
      <c r="A13" s="34">
        <v>2</v>
      </c>
      <c r="B13" s="35" t="s">
        <v>175</v>
      </c>
      <c r="C13" s="67">
        <f>79200+15800</f>
        <v>95000</v>
      </c>
      <c r="D13" s="68">
        <v>83891.701469</v>
      </c>
      <c r="E13" s="69">
        <f t="shared" si="0"/>
        <v>0.8830705417789474</v>
      </c>
    </row>
    <row r="14" spans="1:5" ht="15.75">
      <c r="A14" s="34">
        <v>3</v>
      </c>
      <c r="B14" s="35" t="s">
        <v>178</v>
      </c>
      <c r="C14" s="67">
        <v>20000</v>
      </c>
      <c r="D14" s="68">
        <v>16944.565</v>
      </c>
      <c r="E14" s="69">
        <f t="shared" si="0"/>
        <v>0.8472282499999999</v>
      </c>
    </row>
    <row r="15" spans="1:5" ht="15.75">
      <c r="A15" s="34">
        <v>4</v>
      </c>
      <c r="B15" s="35" t="s">
        <v>179</v>
      </c>
      <c r="C15" s="67"/>
      <c r="D15" s="68">
        <v>38881.191452</v>
      </c>
      <c r="E15" s="67"/>
    </row>
    <row r="16" spans="1:5" ht="15.75">
      <c r="A16" s="34">
        <v>5</v>
      </c>
      <c r="B16" s="35" t="s">
        <v>176</v>
      </c>
      <c r="C16" s="67"/>
      <c r="D16" s="68">
        <v>24094.776089</v>
      </c>
      <c r="E16" s="67"/>
    </row>
    <row r="17" spans="1:5" ht="15.75">
      <c r="A17" s="34">
        <v>6</v>
      </c>
      <c r="B17" s="35" t="s">
        <v>177</v>
      </c>
      <c r="C17" s="67"/>
      <c r="D17" s="68">
        <v>400</v>
      </c>
      <c r="E17" s="67"/>
    </row>
    <row r="18" spans="1:11" ht="18.75">
      <c r="A18" s="36" t="s">
        <v>87</v>
      </c>
      <c r="B18" s="37" t="s">
        <v>94</v>
      </c>
      <c r="C18" s="64">
        <v>6158349</v>
      </c>
      <c r="D18" s="65">
        <v>6525580.833788</v>
      </c>
      <c r="E18" s="66">
        <f>D18/C18</f>
        <v>1.0596315398474494</v>
      </c>
      <c r="F18" s="134"/>
      <c r="G18" s="203"/>
      <c r="J18" s="135"/>
      <c r="K18" s="134"/>
    </row>
    <row r="19" spans="1:5" ht="15.75">
      <c r="A19" s="34"/>
      <c r="B19" s="38" t="s">
        <v>337</v>
      </c>
      <c r="C19" s="67"/>
      <c r="D19" s="68"/>
      <c r="E19" s="67"/>
    </row>
    <row r="20" spans="1:5" ht="15.75">
      <c r="A20" s="34">
        <v>1</v>
      </c>
      <c r="B20" s="38" t="s">
        <v>283</v>
      </c>
      <c r="C20" s="70">
        <v>2920821</v>
      </c>
      <c r="D20" s="118">
        <v>3179395.425267</v>
      </c>
      <c r="E20" s="69">
        <f>D20/C20</f>
        <v>1.0885279944464246</v>
      </c>
    </row>
    <row r="21" spans="1:5" ht="15.75">
      <c r="A21" s="34">
        <v>2</v>
      </c>
      <c r="B21" s="38" t="s">
        <v>284</v>
      </c>
      <c r="C21" s="70">
        <v>12550</v>
      </c>
      <c r="D21" s="118">
        <v>12317.743806</v>
      </c>
      <c r="E21" s="69">
        <f>D21/C21</f>
        <v>0.9814935303585658</v>
      </c>
    </row>
    <row r="22" spans="1:5" ht="15.75">
      <c r="A22" s="36" t="s">
        <v>88</v>
      </c>
      <c r="B22" s="37" t="s">
        <v>95</v>
      </c>
      <c r="C22" s="64">
        <v>1543</v>
      </c>
      <c r="D22" s="65">
        <v>787.62502</v>
      </c>
      <c r="E22" s="66">
        <f>D22/C22</f>
        <v>0.5104504342190538</v>
      </c>
    </row>
    <row r="23" spans="1:5" ht="15.75">
      <c r="A23" s="36" t="s">
        <v>89</v>
      </c>
      <c r="B23" s="37" t="s">
        <v>138</v>
      </c>
      <c r="C23" s="64">
        <v>1000</v>
      </c>
      <c r="D23" s="65">
        <v>1000</v>
      </c>
      <c r="E23" s="66">
        <f>D23/C23</f>
        <v>1</v>
      </c>
    </row>
    <row r="24" spans="1:5" ht="15.75">
      <c r="A24" s="36" t="s">
        <v>334</v>
      </c>
      <c r="B24" s="37" t="s">
        <v>139</v>
      </c>
      <c r="C24" s="64">
        <v>135810</v>
      </c>
      <c r="D24" s="68"/>
      <c r="E24" s="67"/>
    </row>
    <row r="25" spans="1:5" ht="15.75">
      <c r="A25" s="36" t="s">
        <v>286</v>
      </c>
      <c r="B25" s="37" t="s">
        <v>96</v>
      </c>
      <c r="C25" s="64">
        <v>39351</v>
      </c>
      <c r="D25" s="68"/>
      <c r="E25" s="67"/>
    </row>
    <row r="26" spans="1:5" ht="15.75">
      <c r="A26" s="36" t="s">
        <v>84</v>
      </c>
      <c r="B26" s="37" t="s">
        <v>287</v>
      </c>
      <c r="C26" s="64">
        <f>SUM(C27,C45)</f>
        <v>2019238</v>
      </c>
      <c r="D26" s="65">
        <f>SUM(D27,D45)</f>
        <v>1826198.3213199996</v>
      </c>
      <c r="E26" s="66">
        <f>D26/C26</f>
        <v>0.9043997395651229</v>
      </c>
    </row>
    <row r="27" spans="1:5" ht="15.75">
      <c r="A27" s="36" t="s">
        <v>91</v>
      </c>
      <c r="B27" s="37" t="s">
        <v>141</v>
      </c>
      <c r="C27" s="64">
        <f>SUM(C30,C40)</f>
        <v>601848</v>
      </c>
      <c r="D27" s="65">
        <f>SUM(D30,D40)</f>
        <v>598256.434579</v>
      </c>
      <c r="E27" s="66">
        <f>D27/C27</f>
        <v>0.9940324377234784</v>
      </c>
    </row>
    <row r="28" spans="1:5" ht="15.75">
      <c r="A28" s="36"/>
      <c r="B28" s="71" t="s">
        <v>157</v>
      </c>
      <c r="C28" s="64">
        <v>414169</v>
      </c>
      <c r="D28" s="65">
        <f>SUM(D32,D35,D41)</f>
        <v>424418.15304899996</v>
      </c>
      <c r="E28" s="66"/>
    </row>
    <row r="29" spans="1:5" ht="15.75">
      <c r="A29" s="36"/>
      <c r="B29" s="71" t="s">
        <v>158</v>
      </c>
      <c r="C29" s="64">
        <v>187679</v>
      </c>
      <c r="D29" s="65">
        <f>SUM(D33,D36,D37,D38,D383,D44)</f>
        <v>173032.85223</v>
      </c>
      <c r="E29" s="66"/>
    </row>
    <row r="30" spans="1:7" ht="15.75">
      <c r="A30" s="36">
        <v>1</v>
      </c>
      <c r="B30" s="72" t="s">
        <v>306</v>
      </c>
      <c r="C30" s="64">
        <v>385148</v>
      </c>
      <c r="D30" s="65">
        <f>SUM(D31,D34,D37,D38,D39)</f>
        <v>379405.808281</v>
      </c>
      <c r="E30" s="69">
        <f>D30/C30</f>
        <v>0.9850909475863824</v>
      </c>
      <c r="G30" s="60"/>
    </row>
    <row r="31" spans="1:7" ht="15.75">
      <c r="A31" s="18" t="s">
        <v>147</v>
      </c>
      <c r="B31" s="72" t="s">
        <v>148</v>
      </c>
      <c r="C31" s="64">
        <f>SUM(C32:C33)</f>
        <v>0</v>
      </c>
      <c r="D31" s="65">
        <f>SUM(D32:D33)</f>
        <v>207174.717661</v>
      </c>
      <c r="E31" s="67"/>
      <c r="G31" s="60"/>
    </row>
    <row r="32" spans="1:5" ht="15.75">
      <c r="A32" s="73"/>
      <c r="B32" s="71" t="s">
        <v>157</v>
      </c>
      <c r="C32" s="67"/>
      <c r="D32" s="68">
        <f>112044.49615+30821.238798</f>
        <v>142865.734948</v>
      </c>
      <c r="E32" s="67"/>
    </row>
    <row r="33" spans="1:7" ht="15.75">
      <c r="A33" s="73"/>
      <c r="B33" s="71" t="s">
        <v>158</v>
      </c>
      <c r="C33" s="67"/>
      <c r="D33" s="68">
        <f>207174.717661-D32</f>
        <v>64308.982713000005</v>
      </c>
      <c r="E33" s="67"/>
      <c r="G33" s="60"/>
    </row>
    <row r="34" spans="1:5" ht="15.75">
      <c r="A34" s="18" t="s">
        <v>149</v>
      </c>
      <c r="B34" s="17" t="s">
        <v>150</v>
      </c>
      <c r="C34" s="64">
        <f>SUM(C35:C36)</f>
        <v>0</v>
      </c>
      <c r="D34" s="65">
        <f>SUM(D35:D36)</f>
        <v>170357.77312</v>
      </c>
      <c r="E34" s="67"/>
    </row>
    <row r="35" spans="1:5" ht="15.75">
      <c r="A35" s="73"/>
      <c r="B35" s="71" t="s">
        <v>157</v>
      </c>
      <c r="C35" s="67"/>
      <c r="D35" s="68">
        <f>129004.297412+2342.5435</f>
        <v>131346.840912</v>
      </c>
      <c r="E35" s="67"/>
    </row>
    <row r="36" spans="1:5" ht="15.75">
      <c r="A36" s="73"/>
      <c r="B36" s="71" t="s">
        <v>158</v>
      </c>
      <c r="C36" s="67"/>
      <c r="D36" s="68">
        <f>170357.77312-D35</f>
        <v>39010.932207999984</v>
      </c>
      <c r="E36" s="67"/>
    </row>
    <row r="37" spans="1:5" ht="47.25">
      <c r="A37" s="18" t="s">
        <v>151</v>
      </c>
      <c r="B37" s="17" t="s">
        <v>152</v>
      </c>
      <c r="C37" s="67"/>
      <c r="D37" s="65">
        <v>180.4325</v>
      </c>
      <c r="E37" s="67"/>
    </row>
    <row r="38" spans="1:5" ht="15.75">
      <c r="A38" s="18" t="s">
        <v>153</v>
      </c>
      <c r="B38" s="17" t="s">
        <v>154</v>
      </c>
      <c r="C38" s="67"/>
      <c r="D38" s="65">
        <v>887.4557</v>
      </c>
      <c r="E38" s="67"/>
    </row>
    <row r="39" spans="1:5" ht="31.5">
      <c r="A39" s="18" t="s">
        <v>155</v>
      </c>
      <c r="B39" s="17" t="s">
        <v>156</v>
      </c>
      <c r="C39" s="67"/>
      <c r="D39" s="65">
        <v>805.4293</v>
      </c>
      <c r="E39" s="67"/>
    </row>
    <row r="40" spans="1:5" ht="15.75">
      <c r="A40" s="18">
        <v>3</v>
      </c>
      <c r="B40" s="19" t="s">
        <v>159</v>
      </c>
      <c r="C40" s="64">
        <f>SUM(C41,C44)</f>
        <v>216700</v>
      </c>
      <c r="D40" s="65">
        <f>SUM(D41,D44)</f>
        <v>218850.626298</v>
      </c>
      <c r="E40" s="66">
        <f>D40/C40</f>
        <v>1.0099244406922012</v>
      </c>
    </row>
    <row r="41" spans="1:5" ht="15.75">
      <c r="A41" s="18"/>
      <c r="B41" s="19" t="s">
        <v>160</v>
      </c>
      <c r="C41" s="64">
        <f>SUM(C42:C43)</f>
        <v>141100</v>
      </c>
      <c r="D41" s="65">
        <f>SUM(D42:D43)</f>
        <v>150205.577189</v>
      </c>
      <c r="E41" s="66">
        <f>D41/C41</f>
        <v>1.0645327936853295</v>
      </c>
    </row>
    <row r="42" spans="1:5" ht="15.75">
      <c r="A42" s="73"/>
      <c r="B42" s="20" t="s">
        <v>161</v>
      </c>
      <c r="C42" s="67">
        <v>141100</v>
      </c>
      <c r="D42" s="68">
        <v>149551.577189</v>
      </c>
      <c r="E42" s="69">
        <f>D42/C42</f>
        <v>1.0598977830545713</v>
      </c>
    </row>
    <row r="43" spans="1:5" ht="15.75">
      <c r="A43" s="73"/>
      <c r="B43" s="20" t="s">
        <v>162</v>
      </c>
      <c r="C43" s="67"/>
      <c r="D43" s="68">
        <v>654</v>
      </c>
      <c r="E43" s="67"/>
    </row>
    <row r="44" spans="1:5" ht="15.75">
      <c r="A44" s="18"/>
      <c r="B44" s="19" t="s">
        <v>163</v>
      </c>
      <c r="C44" s="67">
        <v>75600</v>
      </c>
      <c r="D44" s="65">
        <v>68645.049109</v>
      </c>
      <c r="E44" s="69">
        <f>D44/C44</f>
        <v>0.9080032950925926</v>
      </c>
    </row>
    <row r="45" spans="1:5" ht="15.75">
      <c r="A45" s="36" t="s">
        <v>87</v>
      </c>
      <c r="B45" s="37" t="s">
        <v>21</v>
      </c>
      <c r="C45" s="64">
        <f>SUM(C46,C54)</f>
        <v>1417390</v>
      </c>
      <c r="D45" s="65">
        <f>SUM(D46,D54)</f>
        <v>1227941.8867409998</v>
      </c>
      <c r="E45" s="66">
        <f>D45/C45</f>
        <v>0.8663401651916549</v>
      </c>
    </row>
    <row r="46" spans="1:5" ht="15.75">
      <c r="A46" s="18">
        <v>1</v>
      </c>
      <c r="B46" s="19" t="s">
        <v>20</v>
      </c>
      <c r="C46" s="64">
        <f>SUM(C47:C49)</f>
        <v>1230299</v>
      </c>
      <c r="D46" s="65">
        <f>SUM(D47:D49)</f>
        <v>1081430.7863099999</v>
      </c>
      <c r="E46" s="66">
        <f>D46/C46</f>
        <v>0.8789983461825133</v>
      </c>
    </row>
    <row r="47" spans="1:5" ht="15.75">
      <c r="A47" s="18" t="s">
        <v>147</v>
      </c>
      <c r="B47" s="19" t="s">
        <v>164</v>
      </c>
      <c r="C47" s="64">
        <v>271159</v>
      </c>
      <c r="D47" s="65">
        <v>373795.048479</v>
      </c>
      <c r="E47" s="66">
        <f>D47/C47</f>
        <v>1.3785087291183402</v>
      </c>
    </row>
    <row r="48" spans="1:5" ht="15.75">
      <c r="A48" s="18" t="s">
        <v>149</v>
      </c>
      <c r="B48" s="19" t="s">
        <v>165</v>
      </c>
      <c r="C48" s="64">
        <v>959140</v>
      </c>
      <c r="D48" s="65">
        <v>412752.192892</v>
      </c>
      <c r="E48" s="66">
        <f>D48/C48</f>
        <v>0.43033571000271076</v>
      </c>
    </row>
    <row r="49" spans="1:5" ht="15.75">
      <c r="A49" s="18" t="s">
        <v>151</v>
      </c>
      <c r="B49" s="19" t="s">
        <v>166</v>
      </c>
      <c r="C49" s="67"/>
      <c r="D49" s="65">
        <f>SUM(D50:D53)</f>
        <v>294883.544939</v>
      </c>
      <c r="E49" s="67"/>
    </row>
    <row r="50" spans="1:5" ht="15.75">
      <c r="A50" s="20"/>
      <c r="B50" s="20" t="s">
        <v>426</v>
      </c>
      <c r="C50" s="67"/>
      <c r="D50" s="68">
        <v>6954.759418</v>
      </c>
      <c r="E50" s="67"/>
    </row>
    <row r="51" spans="1:5" ht="15.75">
      <c r="A51" s="20"/>
      <c r="B51" s="20" t="s">
        <v>427</v>
      </c>
      <c r="C51" s="67"/>
      <c r="D51" s="68">
        <v>31107.734741</v>
      </c>
      <c r="E51" s="67"/>
    </row>
    <row r="52" spans="1:5" ht="15.75">
      <c r="A52" s="20"/>
      <c r="B52" s="20" t="s">
        <v>398</v>
      </c>
      <c r="C52" s="67"/>
      <c r="D52" s="68">
        <v>231956.881361</v>
      </c>
      <c r="E52" s="67"/>
    </row>
    <row r="53" spans="1:5" ht="15.75">
      <c r="A53" s="20"/>
      <c r="B53" s="20" t="s">
        <v>399</v>
      </c>
      <c r="C53" s="67"/>
      <c r="D53" s="68">
        <v>24864.169419</v>
      </c>
      <c r="E53" s="67"/>
    </row>
    <row r="54" spans="1:5" ht="15.75">
      <c r="A54" s="74">
        <v>2</v>
      </c>
      <c r="B54" s="75" t="s">
        <v>43</v>
      </c>
      <c r="C54" s="64">
        <f>SUM(C55:C76)</f>
        <v>187091</v>
      </c>
      <c r="D54" s="65">
        <f>SUM(D55:D76)</f>
        <v>146511.100431</v>
      </c>
      <c r="E54" s="66">
        <f>D54/C54</f>
        <v>0.7831007393781636</v>
      </c>
    </row>
    <row r="55" spans="1:5" ht="15.75">
      <c r="A55" s="29"/>
      <c r="B55" s="22" t="s">
        <v>400</v>
      </c>
      <c r="C55" s="67">
        <v>3580</v>
      </c>
      <c r="D55" s="68">
        <v>6861.28</v>
      </c>
      <c r="E55" s="67"/>
    </row>
    <row r="56" spans="1:5" ht="15.75">
      <c r="A56" s="50"/>
      <c r="B56" s="27" t="s">
        <v>401</v>
      </c>
      <c r="C56" s="67">
        <v>8998</v>
      </c>
      <c r="D56" s="68">
        <v>17835.725625</v>
      </c>
      <c r="E56" s="67"/>
    </row>
    <row r="57" spans="1:5" ht="15.75">
      <c r="A57" s="29"/>
      <c r="B57" s="27" t="s">
        <v>402</v>
      </c>
      <c r="C57" s="67">
        <v>4693</v>
      </c>
      <c r="D57" s="68">
        <v>5662.407</v>
      </c>
      <c r="E57" s="67"/>
    </row>
    <row r="58" spans="1:5" ht="15.75">
      <c r="A58" s="50"/>
      <c r="B58" s="22" t="s">
        <v>403</v>
      </c>
      <c r="C58" s="67">
        <v>1689</v>
      </c>
      <c r="D58" s="68">
        <v>6625.4056</v>
      </c>
      <c r="E58" s="67"/>
    </row>
    <row r="59" spans="1:5" ht="15.75">
      <c r="A59" s="29"/>
      <c r="B59" s="27" t="s">
        <v>404</v>
      </c>
      <c r="C59" s="67">
        <v>22100</v>
      </c>
      <c r="D59" s="68">
        <v>39444.942809</v>
      </c>
      <c r="E59" s="67"/>
    </row>
    <row r="60" spans="1:5" ht="15.75">
      <c r="A60" s="50"/>
      <c r="B60" s="22" t="s">
        <v>405</v>
      </c>
      <c r="C60" s="67">
        <v>2950</v>
      </c>
      <c r="D60" s="68">
        <v>7732.129</v>
      </c>
      <c r="E60" s="67"/>
    </row>
    <row r="61" spans="1:5" ht="30">
      <c r="A61" s="29"/>
      <c r="B61" s="28" t="s">
        <v>406</v>
      </c>
      <c r="C61" s="67"/>
      <c r="D61" s="68">
        <v>7444.864156</v>
      </c>
      <c r="E61" s="67"/>
    </row>
    <row r="62" spans="1:5" ht="41.25" customHeight="1">
      <c r="A62" s="50"/>
      <c r="B62" s="22" t="s">
        <v>407</v>
      </c>
      <c r="C62" s="67">
        <v>2000</v>
      </c>
      <c r="D62" s="67">
        <v>2000</v>
      </c>
      <c r="E62" s="67"/>
    </row>
    <row r="63" spans="1:5" ht="31.5">
      <c r="A63" s="29"/>
      <c r="B63" s="22" t="s">
        <v>408</v>
      </c>
      <c r="C63" s="67">
        <v>2086</v>
      </c>
      <c r="D63" s="68">
        <v>2254.492</v>
      </c>
      <c r="E63" s="69">
        <f>D63/C63</f>
        <v>1.080772770853308</v>
      </c>
    </row>
    <row r="64" spans="1:5" ht="24" customHeight="1">
      <c r="A64" s="50"/>
      <c r="B64" s="27" t="s">
        <v>409</v>
      </c>
      <c r="C64" s="67"/>
      <c r="D64" s="68">
        <v>16204.57</v>
      </c>
      <c r="E64" s="67"/>
    </row>
    <row r="65" spans="1:5" ht="47.25">
      <c r="A65" s="29"/>
      <c r="B65" s="22" t="s">
        <v>410</v>
      </c>
      <c r="C65" s="67">
        <v>2000</v>
      </c>
      <c r="D65" s="68">
        <v>1936.592</v>
      </c>
      <c r="E65" s="67"/>
    </row>
    <row r="66" spans="1:5" ht="15.75">
      <c r="A66" s="50"/>
      <c r="B66" s="21" t="s">
        <v>411</v>
      </c>
      <c r="C66" s="67">
        <v>1610</v>
      </c>
      <c r="D66" s="68">
        <v>895.798</v>
      </c>
      <c r="E66" s="69">
        <f>D66/C66</f>
        <v>0.5563962732919254</v>
      </c>
    </row>
    <row r="67" spans="1:5" ht="15.75">
      <c r="A67" s="29"/>
      <c r="B67" s="21" t="s">
        <v>412</v>
      </c>
      <c r="C67" s="67">
        <v>300</v>
      </c>
      <c r="D67" s="68">
        <v>1450</v>
      </c>
      <c r="E67" s="69"/>
    </row>
    <row r="68" spans="1:5" ht="34.5" customHeight="1">
      <c r="A68" s="50"/>
      <c r="B68" s="22" t="s">
        <v>413</v>
      </c>
      <c r="C68" s="67">
        <v>47000</v>
      </c>
      <c r="D68" s="68">
        <v>4985.943735</v>
      </c>
      <c r="E68" s="69">
        <f>D68/C68</f>
        <v>0.10608390925531914</v>
      </c>
    </row>
    <row r="69" spans="1:5" ht="15.75">
      <c r="A69" s="29"/>
      <c r="B69" s="197" t="s">
        <v>414</v>
      </c>
      <c r="C69" s="67"/>
      <c r="D69" s="68">
        <v>3389.98248</v>
      </c>
      <c r="E69" s="67"/>
    </row>
    <row r="70" spans="1:5" ht="15.75">
      <c r="A70" s="50"/>
      <c r="B70" s="21" t="s">
        <v>415</v>
      </c>
      <c r="C70" s="67">
        <v>580</v>
      </c>
      <c r="D70" s="68">
        <v>580</v>
      </c>
      <c r="E70" s="67"/>
    </row>
    <row r="71" spans="1:5" ht="15.75">
      <c r="A71" s="29"/>
      <c r="B71" s="22" t="s">
        <v>416</v>
      </c>
      <c r="C71" s="67"/>
      <c r="D71" s="68">
        <v>630</v>
      </c>
      <c r="E71" s="69"/>
    </row>
    <row r="72" spans="1:5" ht="15.75">
      <c r="A72" s="50"/>
      <c r="B72" s="21" t="s">
        <v>417</v>
      </c>
      <c r="C72" s="67">
        <v>84559</v>
      </c>
      <c r="D72" s="68">
        <v>13766.962644</v>
      </c>
      <c r="E72" s="69">
        <f>D72/C72</f>
        <v>0.16280895757991462</v>
      </c>
    </row>
    <row r="73" spans="1:5" ht="15.75">
      <c r="A73" s="29"/>
      <c r="B73" s="22" t="s">
        <v>418</v>
      </c>
      <c r="C73" s="67"/>
      <c r="D73" s="68">
        <v>2094.105382</v>
      </c>
      <c r="E73" s="69"/>
    </row>
    <row r="74" spans="1:5" ht="15.75">
      <c r="A74" s="50"/>
      <c r="B74" s="198" t="s">
        <v>419</v>
      </c>
      <c r="C74" s="104">
        <v>2946</v>
      </c>
      <c r="D74" s="82">
        <v>2946</v>
      </c>
      <c r="E74" s="105"/>
    </row>
    <row r="75" spans="1:5" ht="15.75">
      <c r="A75" s="29"/>
      <c r="B75" s="199" t="s">
        <v>420</v>
      </c>
      <c r="C75" s="104"/>
      <c r="D75" s="82">
        <v>749.9</v>
      </c>
      <c r="E75" s="105"/>
    </row>
    <row r="76" spans="1:5" ht="30">
      <c r="A76" s="50"/>
      <c r="B76" s="200" t="s">
        <v>421</v>
      </c>
      <c r="C76" s="104"/>
      <c r="D76" s="82">
        <v>1020</v>
      </c>
      <c r="E76" s="105"/>
    </row>
    <row r="77" spans="1:5" ht="15.75">
      <c r="A77" s="36" t="s">
        <v>90</v>
      </c>
      <c r="B77" s="37" t="s">
        <v>18</v>
      </c>
      <c r="C77" s="67"/>
      <c r="D77" s="65">
        <f>2184236.503224+80335.730462</f>
        <v>2264572.233686</v>
      </c>
      <c r="E77" s="67"/>
    </row>
    <row r="78" spans="1:5" ht="15.75">
      <c r="A78" s="36" t="s">
        <v>92</v>
      </c>
      <c r="B78" s="37" t="s">
        <v>72</v>
      </c>
      <c r="C78" s="67"/>
      <c r="D78" s="65">
        <v>280201</v>
      </c>
      <c r="E78" s="67"/>
    </row>
    <row r="79" spans="1:5" ht="24" customHeight="1">
      <c r="A79" s="123"/>
      <c r="B79" s="123"/>
      <c r="C79" s="123"/>
      <c r="D79" s="123"/>
      <c r="E79" s="123"/>
    </row>
  </sheetData>
  <sheetProtection/>
  <mergeCells count="8">
    <mergeCell ref="D1:E1"/>
    <mergeCell ref="A2:E2"/>
    <mergeCell ref="A6:A7"/>
    <mergeCell ref="B6:B7"/>
    <mergeCell ref="D6:D7"/>
    <mergeCell ref="C6:C7"/>
    <mergeCell ref="E6:E7"/>
    <mergeCell ref="A3:E3"/>
  </mergeCells>
  <printOptions horizontalCentered="1"/>
  <pageMargins left="0" right="0" top="0.7086614173228347" bottom="0"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I5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3" sqref="F3"/>
    </sheetView>
  </sheetViews>
  <sheetFormatPr defaultColWidth="9.140625" defaultRowHeight="15"/>
  <cols>
    <col min="1" max="1" width="6.28125" style="0" customWidth="1"/>
    <col min="2" max="2" width="54.00390625" style="0" customWidth="1"/>
    <col min="3" max="3" width="15.7109375" style="0" customWidth="1"/>
    <col min="4" max="4" width="18.8515625" style="0" customWidth="1"/>
    <col min="5" max="5" width="15.8515625" style="0" customWidth="1"/>
    <col min="6" max="6" width="15.421875" style="0" customWidth="1"/>
    <col min="7" max="7" width="9.28125" style="0" bestFit="1" customWidth="1"/>
    <col min="8" max="8" width="14.7109375" style="0" customWidth="1"/>
    <col min="9" max="9" width="21.28125" style="0" customWidth="1"/>
  </cols>
  <sheetData>
    <row r="1" spans="4:5" ht="17.25" customHeight="1">
      <c r="D1" s="360" t="s">
        <v>173</v>
      </c>
      <c r="E1" s="360"/>
    </row>
    <row r="2" spans="1:5" ht="23.25" customHeight="1">
      <c r="A2" s="361" t="s">
        <v>130</v>
      </c>
      <c r="B2" s="361"/>
      <c r="C2" s="361"/>
      <c r="D2" s="361"/>
      <c r="E2" s="361"/>
    </row>
    <row r="3" spans="1:6" ht="23.25" customHeight="1">
      <c r="A3" s="385" t="s">
        <v>432</v>
      </c>
      <c r="B3" s="385"/>
      <c r="C3" s="385"/>
      <c r="D3" s="385"/>
      <c r="E3" s="385"/>
      <c r="F3" s="137"/>
    </row>
    <row r="4" spans="4:5" ht="21.75" customHeight="1">
      <c r="D4" s="383" t="s">
        <v>305</v>
      </c>
      <c r="E4" s="383"/>
    </row>
    <row r="5" spans="1:5" ht="15.75" customHeight="1">
      <c r="A5" s="384" t="s">
        <v>389</v>
      </c>
      <c r="B5" s="384" t="s">
        <v>180</v>
      </c>
      <c r="C5" s="381" t="s">
        <v>116</v>
      </c>
      <c r="D5" s="381" t="s">
        <v>208</v>
      </c>
      <c r="E5" s="381" t="s">
        <v>181</v>
      </c>
    </row>
    <row r="6" spans="1:5" ht="17.25" customHeight="1">
      <c r="A6" s="384"/>
      <c r="B6" s="384"/>
      <c r="C6" s="382"/>
      <c r="D6" s="382"/>
      <c r="E6" s="382"/>
    </row>
    <row r="7" spans="1:5" ht="15.75" customHeight="1">
      <c r="A7" s="85" t="s">
        <v>83</v>
      </c>
      <c r="B7" s="85" t="s">
        <v>84</v>
      </c>
      <c r="C7" s="85">
        <v>1</v>
      </c>
      <c r="D7" s="85">
        <v>2</v>
      </c>
      <c r="E7" s="85" t="s">
        <v>144</v>
      </c>
    </row>
    <row r="8" spans="1:9" ht="15.75">
      <c r="A8" s="83" t="s">
        <v>83</v>
      </c>
      <c r="B8" s="84" t="s">
        <v>182</v>
      </c>
      <c r="C8" s="52">
        <f>SUM(C9,C26,C27,C42:C44)</f>
        <v>3996023</v>
      </c>
      <c r="D8" s="53">
        <f>SUM(D9,D26,D27,D42:D44)</f>
        <v>5434517.035275999</v>
      </c>
      <c r="E8" s="54">
        <f>D8/C8</f>
        <v>1.359981420346179</v>
      </c>
      <c r="I8" t="s">
        <v>390</v>
      </c>
    </row>
    <row r="9" spans="1:9" ht="15.75">
      <c r="A9" s="30" t="s">
        <v>91</v>
      </c>
      <c r="B9" s="31" t="s">
        <v>272</v>
      </c>
      <c r="C9" s="55">
        <f>613274+22585+271159+947622</f>
        <v>1854640</v>
      </c>
      <c r="D9" s="41">
        <f>SUM(D10,D24,D25)</f>
        <v>1565929.6000309999</v>
      </c>
      <c r="E9" s="56">
        <f>D9/C9</f>
        <v>0.8443307596250484</v>
      </c>
      <c r="F9" s="16"/>
      <c r="G9" s="112"/>
      <c r="H9" s="103"/>
      <c r="I9" t="s">
        <v>391</v>
      </c>
    </row>
    <row r="10" spans="1:6" ht="28.5" customHeight="1">
      <c r="A10" s="30">
        <v>1</v>
      </c>
      <c r="B10" s="31" t="s">
        <v>183</v>
      </c>
      <c r="C10" s="57"/>
      <c r="D10" s="41">
        <f>SUM(D11:D23)</f>
        <v>1547839.637559</v>
      </c>
      <c r="E10" s="58"/>
      <c r="F10" s="92"/>
    </row>
    <row r="11" spans="1:5" ht="15.75">
      <c r="A11" s="32" t="s">
        <v>147</v>
      </c>
      <c r="B11" s="33" t="s">
        <v>22</v>
      </c>
      <c r="C11" s="57"/>
      <c r="D11" s="42">
        <v>24477.3085</v>
      </c>
      <c r="E11" s="58"/>
    </row>
    <row r="12" spans="1:5" ht="15.75">
      <c r="A12" s="32" t="s">
        <v>149</v>
      </c>
      <c r="B12" s="33" t="s">
        <v>23</v>
      </c>
      <c r="C12" s="57"/>
      <c r="D12" s="42">
        <v>4637.136142</v>
      </c>
      <c r="E12" s="58"/>
    </row>
    <row r="13" spans="1:5" ht="15.75">
      <c r="A13" s="32" t="s">
        <v>151</v>
      </c>
      <c r="B13" s="33" t="s">
        <v>184</v>
      </c>
      <c r="C13" s="57"/>
      <c r="D13" s="42">
        <v>327714.014461</v>
      </c>
      <c r="E13" s="58"/>
    </row>
    <row r="14" spans="1:5" ht="15.75">
      <c r="A14" s="32" t="s">
        <v>153</v>
      </c>
      <c r="B14" s="33" t="s">
        <v>185</v>
      </c>
      <c r="C14" s="57"/>
      <c r="D14" s="42">
        <v>8355.023954</v>
      </c>
      <c r="E14" s="58"/>
    </row>
    <row r="15" spans="1:5" ht="15.75">
      <c r="A15" s="32" t="s">
        <v>155</v>
      </c>
      <c r="B15" s="33" t="s">
        <v>186</v>
      </c>
      <c r="C15" s="57"/>
      <c r="D15" s="42">
        <v>70880.630644</v>
      </c>
      <c r="E15" s="58"/>
    </row>
    <row r="16" spans="1:5" ht="15.75">
      <c r="A16" s="32" t="s">
        <v>187</v>
      </c>
      <c r="B16" s="33" t="s">
        <v>188</v>
      </c>
      <c r="C16" s="57"/>
      <c r="D16" s="42">
        <v>100</v>
      </c>
      <c r="E16" s="58"/>
    </row>
    <row r="17" spans="1:5" ht="15.75">
      <c r="A17" s="32" t="s">
        <v>189</v>
      </c>
      <c r="B17" s="33" t="s">
        <v>190</v>
      </c>
      <c r="C17" s="57"/>
      <c r="D17" s="42">
        <v>2545</v>
      </c>
      <c r="E17" s="58"/>
    </row>
    <row r="18" spans="1:5" ht="15.75">
      <c r="A18" s="32" t="s">
        <v>191</v>
      </c>
      <c r="B18" s="33" t="s">
        <v>192</v>
      </c>
      <c r="C18" s="57"/>
      <c r="D18" s="42">
        <v>3968.307</v>
      </c>
      <c r="E18" s="58"/>
    </row>
    <row r="19" spans="1:5" ht="15.75">
      <c r="A19" s="32" t="s">
        <v>193</v>
      </c>
      <c r="B19" s="33" t="s">
        <v>194</v>
      </c>
      <c r="C19" s="57"/>
      <c r="D19" s="42">
        <v>172400.274</v>
      </c>
      <c r="E19" s="58"/>
    </row>
    <row r="20" spans="1:5" ht="15.75">
      <c r="A20" s="32" t="s">
        <v>195</v>
      </c>
      <c r="B20" s="33" t="s">
        <v>24</v>
      </c>
      <c r="C20" s="57"/>
      <c r="D20" s="42">
        <v>830467.468135</v>
      </c>
      <c r="E20" s="58"/>
    </row>
    <row r="21" spans="1:5" ht="31.5">
      <c r="A21" s="32" t="s">
        <v>196</v>
      </c>
      <c r="B21" s="33" t="s">
        <v>44</v>
      </c>
      <c r="C21" s="57"/>
      <c r="D21" s="42">
        <v>98702.772054</v>
      </c>
      <c r="E21" s="58"/>
    </row>
    <row r="22" spans="1:5" ht="15.75">
      <c r="A22" s="32" t="s">
        <v>45</v>
      </c>
      <c r="B22" s="33" t="s">
        <v>46</v>
      </c>
      <c r="C22" s="57"/>
      <c r="D22" s="42">
        <v>125.607566</v>
      </c>
      <c r="E22" s="58"/>
    </row>
    <row r="23" spans="1:5" ht="15.75">
      <c r="A23" s="32" t="s">
        <v>47</v>
      </c>
      <c r="B23" s="33" t="s">
        <v>48</v>
      </c>
      <c r="C23" s="57"/>
      <c r="D23" s="42">
        <v>3466.095103</v>
      </c>
      <c r="E23" s="58"/>
    </row>
    <row r="24" spans="1:5" ht="26.25" customHeight="1">
      <c r="A24" s="30">
        <v>2</v>
      </c>
      <c r="B24" s="31" t="s">
        <v>49</v>
      </c>
      <c r="C24" s="57"/>
      <c r="D24" s="41"/>
      <c r="E24" s="58"/>
    </row>
    <row r="25" spans="1:5" ht="15.75">
      <c r="A25" s="30">
        <v>3</v>
      </c>
      <c r="B25" s="31" t="s">
        <v>285</v>
      </c>
      <c r="C25" s="57"/>
      <c r="D25" s="41">
        <v>18089.962472</v>
      </c>
      <c r="E25" s="58"/>
    </row>
    <row r="26" spans="1:5" ht="15.75">
      <c r="A26" s="30" t="s">
        <v>87</v>
      </c>
      <c r="B26" s="31" t="s">
        <v>50</v>
      </c>
      <c r="C26" s="55">
        <v>1543</v>
      </c>
      <c r="D26" s="41">
        <v>787.62502</v>
      </c>
      <c r="E26" s="56">
        <f aca="true" t="shared" si="0" ref="E26:E39">D26/C26</f>
        <v>0.5104504342190538</v>
      </c>
    </row>
    <row r="27" spans="1:8" ht="15.75">
      <c r="A27" s="30" t="s">
        <v>88</v>
      </c>
      <c r="B27" s="31" t="s">
        <v>94</v>
      </c>
      <c r="C27" s="55">
        <f>SUM(C28:C41)</f>
        <v>2087212</v>
      </c>
      <c r="D27" s="41">
        <f>SUM(D28:D41)</f>
        <v>2051557.1574409998</v>
      </c>
      <c r="E27" s="56">
        <f t="shared" si="0"/>
        <v>0.9829174791257428</v>
      </c>
      <c r="F27" s="113"/>
      <c r="G27" s="113"/>
      <c r="H27" s="113"/>
    </row>
    <row r="28" spans="1:8" ht="15.75">
      <c r="A28" s="32" t="s">
        <v>51</v>
      </c>
      <c r="B28" s="33" t="s">
        <v>22</v>
      </c>
      <c r="C28" s="57">
        <v>55810</v>
      </c>
      <c r="D28" s="42">
        <v>57569.547467</v>
      </c>
      <c r="E28" s="58">
        <f t="shared" si="0"/>
        <v>1.031527458645404</v>
      </c>
      <c r="F28" s="113"/>
      <c r="G28" s="113"/>
      <c r="H28" s="117"/>
    </row>
    <row r="29" spans="1:8" ht="15.75">
      <c r="A29" s="32" t="s">
        <v>52</v>
      </c>
      <c r="B29" s="33" t="s">
        <v>23</v>
      </c>
      <c r="C29" s="57">
        <f>13350+1550+2556</f>
        <v>17456</v>
      </c>
      <c r="D29" s="42">
        <v>22788.484038</v>
      </c>
      <c r="E29" s="58">
        <f t="shared" si="0"/>
        <v>1.305481441223648</v>
      </c>
      <c r="F29" s="113"/>
      <c r="G29" s="113"/>
      <c r="H29" s="112"/>
    </row>
    <row r="30" spans="1:7" ht="15.75">
      <c r="A30" s="32" t="s">
        <v>53</v>
      </c>
      <c r="B30" s="33" t="s">
        <v>184</v>
      </c>
      <c r="C30" s="57">
        <f>513999+6389+255+3000+950+200+215+600+6900+3000</f>
        <v>535508</v>
      </c>
      <c r="D30" s="42">
        <v>528871.649826</v>
      </c>
      <c r="E30" s="58">
        <f t="shared" si="0"/>
        <v>0.9876073743548182</v>
      </c>
      <c r="F30" s="113"/>
      <c r="G30" s="113"/>
    </row>
    <row r="31" spans="1:5" ht="15.75">
      <c r="A31" s="32" t="s">
        <v>54</v>
      </c>
      <c r="B31" s="33" t="s">
        <v>185</v>
      </c>
      <c r="C31" s="57">
        <v>10060</v>
      </c>
      <c r="D31" s="42">
        <v>9440.388534</v>
      </c>
      <c r="E31" s="58">
        <f t="shared" si="0"/>
        <v>0.9384084029821074</v>
      </c>
    </row>
    <row r="32" spans="1:5" ht="15.75">
      <c r="A32" s="32" t="s">
        <v>55</v>
      </c>
      <c r="B32" s="33" t="s">
        <v>186</v>
      </c>
      <c r="C32" s="57">
        <f>641248+1400+800+36300+8998</f>
        <v>688746</v>
      </c>
      <c r="D32" s="42">
        <v>747103.040906</v>
      </c>
      <c r="E32" s="58">
        <f t="shared" si="0"/>
        <v>1.0847294080923882</v>
      </c>
    </row>
    <row r="33" spans="1:5" ht="15.75">
      <c r="A33" s="32" t="s">
        <v>56</v>
      </c>
      <c r="B33" s="33" t="s">
        <v>188</v>
      </c>
      <c r="C33" s="57">
        <f>38262+150+300+300+4393</f>
        <v>43405</v>
      </c>
      <c r="D33" s="42">
        <v>50101.1182</v>
      </c>
      <c r="E33" s="58">
        <f t="shared" si="0"/>
        <v>1.1542706646699687</v>
      </c>
    </row>
    <row r="34" spans="1:5" ht="15.75">
      <c r="A34" s="32" t="s">
        <v>57</v>
      </c>
      <c r="B34" s="33" t="s">
        <v>190</v>
      </c>
      <c r="C34" s="57">
        <f>24433+150</f>
        <v>24583</v>
      </c>
      <c r="D34" s="42">
        <v>25522.796</v>
      </c>
      <c r="E34" s="58">
        <f t="shared" si="0"/>
        <v>1.0382295081967212</v>
      </c>
    </row>
    <row r="35" spans="1:5" ht="15.75">
      <c r="A35" s="32" t="s">
        <v>58</v>
      </c>
      <c r="B35" s="33" t="s">
        <v>192</v>
      </c>
      <c r="C35" s="57">
        <v>9477</v>
      </c>
      <c r="D35" s="42">
        <v>9490</v>
      </c>
      <c r="E35" s="58">
        <f t="shared" si="0"/>
        <v>1.0013717421124828</v>
      </c>
    </row>
    <row r="36" spans="1:5" ht="15.75">
      <c r="A36" s="34" t="s">
        <v>59</v>
      </c>
      <c r="B36" s="35" t="s">
        <v>194</v>
      </c>
      <c r="C36" s="57">
        <v>15603</v>
      </c>
      <c r="D36" s="44">
        <v>9621.225044</v>
      </c>
      <c r="E36" s="58">
        <f t="shared" si="0"/>
        <v>0.6166266130872269</v>
      </c>
    </row>
    <row r="37" spans="1:5" ht="15.75">
      <c r="A37" s="32" t="s">
        <v>60</v>
      </c>
      <c r="B37" s="33" t="s">
        <v>24</v>
      </c>
      <c r="C37" s="57">
        <f>131237+294+1700+47000+1610+5238+2000</f>
        <v>189079</v>
      </c>
      <c r="D37" s="42">
        <v>185821.782403</v>
      </c>
      <c r="E37" s="58">
        <f t="shared" si="0"/>
        <v>0.9827732450615879</v>
      </c>
    </row>
    <row r="38" spans="1:5" ht="31.5">
      <c r="A38" s="32" t="s">
        <v>61</v>
      </c>
      <c r="B38" s="33" t="s">
        <v>44</v>
      </c>
      <c r="C38" s="57">
        <f>367735+800+50+50+50+100+50+118+184+2086+580+100+310</f>
        <v>372213</v>
      </c>
      <c r="D38" s="42">
        <v>367419.754955</v>
      </c>
      <c r="E38" s="58">
        <f t="shared" si="0"/>
        <v>0.9871223061929595</v>
      </c>
    </row>
    <row r="39" spans="1:5" ht="15.75">
      <c r="A39" s="32" t="s">
        <v>62</v>
      </c>
      <c r="B39" s="33" t="s">
        <v>46</v>
      </c>
      <c r="C39" s="57">
        <f>34188+1343</f>
        <v>35531</v>
      </c>
      <c r="D39" s="42">
        <v>34633.71215</v>
      </c>
      <c r="E39" s="58">
        <f t="shared" si="0"/>
        <v>0.9747463384087135</v>
      </c>
    </row>
    <row r="40" spans="1:5" ht="15.75">
      <c r="A40" s="32" t="s">
        <v>63</v>
      </c>
      <c r="B40" s="33" t="s">
        <v>64</v>
      </c>
      <c r="C40" s="57">
        <v>50390</v>
      </c>
      <c r="D40" s="42">
        <v>3173.657918</v>
      </c>
      <c r="E40" s="58">
        <f>D40/C40</f>
        <v>0.06298189954356023</v>
      </c>
    </row>
    <row r="41" spans="1:5" ht="15.75">
      <c r="A41" s="32" t="s">
        <v>65</v>
      </c>
      <c r="B41" s="33" t="s">
        <v>66</v>
      </c>
      <c r="C41" s="57">
        <v>39351</v>
      </c>
      <c r="D41" s="42"/>
      <c r="E41" s="58"/>
    </row>
    <row r="42" spans="1:5" ht="15.75">
      <c r="A42" s="30" t="s">
        <v>89</v>
      </c>
      <c r="B42" s="31" t="s">
        <v>138</v>
      </c>
      <c r="C42" s="55">
        <v>1000</v>
      </c>
      <c r="D42" s="41">
        <v>1000</v>
      </c>
      <c r="E42" s="56">
        <f>D42/C42</f>
        <v>1</v>
      </c>
    </row>
    <row r="43" spans="1:5" ht="15.75">
      <c r="A43" s="30" t="s">
        <v>334</v>
      </c>
      <c r="B43" s="31" t="s">
        <v>139</v>
      </c>
      <c r="C43" s="55">
        <v>51628</v>
      </c>
      <c r="D43" s="41"/>
      <c r="E43" s="56"/>
    </row>
    <row r="44" spans="1:5" ht="15.75">
      <c r="A44" s="36" t="s">
        <v>286</v>
      </c>
      <c r="B44" s="37" t="s">
        <v>67</v>
      </c>
      <c r="C44" s="86"/>
      <c r="D44" s="43">
        <f>1734906.922322+80335.730462</f>
        <v>1815242.652784</v>
      </c>
      <c r="E44" s="80"/>
    </row>
    <row r="45" spans="1:5" ht="15.75">
      <c r="A45" s="36" t="s">
        <v>84</v>
      </c>
      <c r="B45" s="37" t="s">
        <v>68</v>
      </c>
      <c r="C45" s="86">
        <f>SUM(C46:C47)</f>
        <v>4632904</v>
      </c>
      <c r="D45" s="43">
        <f>SUM(D46:D47)</f>
        <v>4945415.044094</v>
      </c>
      <c r="E45" s="81"/>
    </row>
    <row r="46" spans="1:5" ht="15.75">
      <c r="A46" s="34">
        <v>1</v>
      </c>
      <c r="B46" s="35" t="s">
        <v>69</v>
      </c>
      <c r="C46" s="87">
        <f>3867008+130093</f>
        <v>3997101</v>
      </c>
      <c r="D46" s="44">
        <v>4005556.5198</v>
      </c>
      <c r="E46" s="81"/>
    </row>
    <row r="47" spans="1:5" ht="20.25" customHeight="1">
      <c r="A47" s="34">
        <v>2</v>
      </c>
      <c r="B47" s="35" t="s">
        <v>214</v>
      </c>
      <c r="C47" s="87">
        <v>635803</v>
      </c>
      <c r="D47" s="44">
        <v>939858.524294</v>
      </c>
      <c r="E47" s="81"/>
    </row>
    <row r="48" spans="1:5" s="4" customFormat="1" ht="23.25" customHeight="1">
      <c r="A48" s="380"/>
      <c r="B48" s="38" t="s">
        <v>70</v>
      </c>
      <c r="C48" s="67"/>
      <c r="D48" s="68">
        <v>904916.187835</v>
      </c>
      <c r="E48" s="81"/>
    </row>
    <row r="49" spans="1:5" ht="27.75" customHeight="1">
      <c r="A49" s="380"/>
      <c r="B49" s="38" t="s">
        <v>71</v>
      </c>
      <c r="C49" s="67"/>
      <c r="D49" s="68">
        <v>34942.336459</v>
      </c>
      <c r="E49" s="81"/>
    </row>
    <row r="50" spans="1:5" ht="15.75">
      <c r="A50" s="36" t="s">
        <v>90</v>
      </c>
      <c r="B50" s="37" t="s">
        <v>72</v>
      </c>
      <c r="C50" s="87"/>
      <c r="D50" s="43">
        <v>141057.902598</v>
      </c>
      <c r="E50" s="81"/>
    </row>
    <row r="51" spans="1:7" ht="21" customHeight="1">
      <c r="A51" s="39"/>
      <c r="B51" s="40" t="s">
        <v>395</v>
      </c>
      <c r="C51" s="45">
        <f>SUM(C8,C45,C50)</f>
        <v>8628927</v>
      </c>
      <c r="D51" s="45">
        <f>SUM(D8,D45,D50)</f>
        <v>10520989.981967999</v>
      </c>
      <c r="E51" s="88"/>
      <c r="G51" s="16"/>
    </row>
  </sheetData>
  <sheetProtection/>
  <mergeCells count="10">
    <mergeCell ref="A48:A49"/>
    <mergeCell ref="D5:D6"/>
    <mergeCell ref="C5:C6"/>
    <mergeCell ref="D1:E1"/>
    <mergeCell ref="D4:E4"/>
    <mergeCell ref="A5:A6"/>
    <mergeCell ref="B5:B6"/>
    <mergeCell ref="A2:E2"/>
    <mergeCell ref="E5:E6"/>
    <mergeCell ref="A3:E3"/>
  </mergeCells>
  <printOptions horizontalCentered="1"/>
  <pageMargins left="0" right="0" top="0.11811023622047245" bottom="0"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indexed="10"/>
  </sheetPr>
  <dimension ref="A1:M76"/>
  <sheetViews>
    <sheetView zoomScalePageLayoutView="0" workbookViewId="0" topLeftCell="A1">
      <selection activeCell="D6" sqref="D6"/>
    </sheetView>
  </sheetViews>
  <sheetFormatPr defaultColWidth="9.140625" defaultRowHeight="15"/>
  <cols>
    <col min="1" max="1" width="6.421875" style="59" customWidth="1"/>
    <col min="2" max="2" width="56.28125" style="59" customWidth="1"/>
    <col min="3" max="3" width="11.28125" style="59" customWidth="1"/>
    <col min="4" max="4" width="11.8515625" style="59" customWidth="1"/>
    <col min="5" max="5" width="12.8515625" style="59" customWidth="1"/>
    <col min="6" max="6" width="14.8515625" style="59" customWidth="1"/>
    <col min="7" max="7" width="14.28125" style="59" customWidth="1"/>
    <col min="8" max="8" width="13.421875" style="59" customWidth="1"/>
    <col min="9" max="9" width="12.00390625" style="59" customWidth="1"/>
    <col min="10" max="10" width="11.7109375" style="59" customWidth="1"/>
    <col min="11" max="11" width="10.7109375" style="59" customWidth="1"/>
    <col min="12" max="12" width="13.28125" style="59" bestFit="1" customWidth="1"/>
    <col min="13" max="16384" width="9.140625" style="59" customWidth="1"/>
  </cols>
  <sheetData>
    <row r="1" spans="8:11" ht="15.75">
      <c r="H1" s="157"/>
      <c r="I1" s="370" t="s">
        <v>26</v>
      </c>
      <c r="J1" s="370"/>
      <c r="K1" s="370"/>
    </row>
    <row r="2" spans="1:11" ht="15.75" customHeight="1">
      <c r="A2" s="388" t="s">
        <v>372</v>
      </c>
      <c r="B2" s="388"/>
      <c r="C2" s="388"/>
      <c r="D2" s="388"/>
      <c r="E2" s="388"/>
      <c r="F2" s="388"/>
      <c r="G2" s="388"/>
      <c r="H2" s="388"/>
      <c r="I2" s="388"/>
      <c r="J2" s="388"/>
      <c r="K2" s="388"/>
    </row>
    <row r="3" spans="1:11" ht="25.5" customHeight="1">
      <c r="A3" s="390" t="s">
        <v>433</v>
      </c>
      <c r="B3" s="390"/>
      <c r="C3" s="390"/>
      <c r="D3" s="390"/>
      <c r="E3" s="390"/>
      <c r="F3" s="390"/>
      <c r="G3" s="390"/>
      <c r="H3" s="390"/>
      <c r="I3" s="390"/>
      <c r="J3" s="390"/>
      <c r="K3" s="390"/>
    </row>
    <row r="4" spans="3:11" ht="15" customHeight="1">
      <c r="C4" s="60"/>
      <c r="D4" s="60"/>
      <c r="E4" s="60"/>
      <c r="J4" s="387" t="s">
        <v>85</v>
      </c>
      <c r="K4" s="387"/>
    </row>
    <row r="5" spans="1:11" ht="15" customHeight="1">
      <c r="A5" s="375" t="s">
        <v>389</v>
      </c>
      <c r="B5" s="375" t="s">
        <v>82</v>
      </c>
      <c r="C5" s="375" t="s">
        <v>167</v>
      </c>
      <c r="D5" s="386" t="s">
        <v>19</v>
      </c>
      <c r="E5" s="386"/>
      <c r="F5" s="375" t="s">
        <v>208</v>
      </c>
      <c r="G5" s="389" t="s">
        <v>19</v>
      </c>
      <c r="H5" s="389"/>
      <c r="I5" s="373" t="s">
        <v>274</v>
      </c>
      <c r="J5" s="373"/>
      <c r="K5" s="373"/>
    </row>
    <row r="6" spans="1:11" ht="56.25" customHeight="1">
      <c r="A6" s="376"/>
      <c r="B6" s="376"/>
      <c r="C6" s="376"/>
      <c r="D6" s="62" t="s">
        <v>314</v>
      </c>
      <c r="E6" s="62" t="s">
        <v>315</v>
      </c>
      <c r="F6" s="376"/>
      <c r="G6" s="62" t="s">
        <v>314</v>
      </c>
      <c r="H6" s="62" t="s">
        <v>315</v>
      </c>
      <c r="I6" s="62" t="s">
        <v>319</v>
      </c>
      <c r="J6" s="62" t="s">
        <v>320</v>
      </c>
      <c r="K6" s="62" t="s">
        <v>321</v>
      </c>
    </row>
    <row r="7" spans="1:13" ht="15.75">
      <c r="A7" s="136" t="s">
        <v>83</v>
      </c>
      <c r="B7" s="136" t="s">
        <v>84</v>
      </c>
      <c r="C7" s="136">
        <v>1</v>
      </c>
      <c r="D7" s="136">
        <v>2</v>
      </c>
      <c r="E7" s="136">
        <v>3</v>
      </c>
      <c r="F7" s="136">
        <v>4</v>
      </c>
      <c r="G7" s="136">
        <v>5</v>
      </c>
      <c r="H7" s="136">
        <v>6</v>
      </c>
      <c r="I7" s="136" t="s">
        <v>316</v>
      </c>
      <c r="J7" s="136" t="s">
        <v>317</v>
      </c>
      <c r="K7" s="136" t="s">
        <v>318</v>
      </c>
      <c r="M7" s="79"/>
    </row>
    <row r="8" spans="1:12" ht="25.5" customHeight="1">
      <c r="A8" s="63"/>
      <c r="B8" s="89" t="s">
        <v>215</v>
      </c>
      <c r="C8" s="90">
        <f>SUM(C9,C25)</f>
        <v>9061427</v>
      </c>
      <c r="D8" s="90">
        <f>SUM(D9,D25)</f>
        <v>3996023</v>
      </c>
      <c r="E8" s="90">
        <f>SUM(E9,E25)</f>
        <v>5065404</v>
      </c>
      <c r="F8" s="91">
        <f>SUM(F9,F25,F74,F75)</f>
        <v>11569312.836047</v>
      </c>
      <c r="G8" s="91">
        <f>SUM(G9,G25,G74,G75)</f>
        <v>5575574.9378740005</v>
      </c>
      <c r="H8" s="91">
        <f>SUM(H9,H25,H74,H75)</f>
        <v>5993737.898173</v>
      </c>
      <c r="I8" s="240">
        <f aca="true" t="shared" si="0" ref="I8:K12">F8/C8</f>
        <v>1.276764999160397</v>
      </c>
      <c r="J8" s="240">
        <f t="shared" si="0"/>
        <v>1.3952809925953882</v>
      </c>
      <c r="K8" s="240">
        <f t="shared" si="0"/>
        <v>1.1832694683727103</v>
      </c>
      <c r="L8" s="79"/>
    </row>
    <row r="9" spans="1:11" ht="15.75">
      <c r="A9" s="36" t="s">
        <v>83</v>
      </c>
      <c r="B9" s="37" t="s">
        <v>216</v>
      </c>
      <c r="C9" s="64">
        <f aca="true" t="shared" si="1" ref="C9:H9">SUM(C10,C17,C21,C22:C24)</f>
        <v>7042189</v>
      </c>
      <c r="D9" s="64">
        <f t="shared" si="1"/>
        <v>2612588</v>
      </c>
      <c r="E9" s="64">
        <f t="shared" si="1"/>
        <v>4429601</v>
      </c>
      <c r="F9" s="65">
        <f t="shared" si="1"/>
        <v>7198341.281041</v>
      </c>
      <c r="G9" s="65">
        <f t="shared" si="1"/>
        <v>2509647.0595600004</v>
      </c>
      <c r="H9" s="65">
        <f t="shared" si="1"/>
        <v>4688694.221481</v>
      </c>
      <c r="I9" s="66">
        <f t="shared" si="0"/>
        <v>1.0221738270644256</v>
      </c>
      <c r="J9" s="66">
        <f t="shared" si="0"/>
        <v>0.9605980964315844</v>
      </c>
      <c r="K9" s="66">
        <f t="shared" si="0"/>
        <v>1.0584913226904635</v>
      </c>
    </row>
    <row r="10" spans="1:11" ht="15.75">
      <c r="A10" s="36" t="s">
        <v>91</v>
      </c>
      <c r="B10" s="37" t="s">
        <v>272</v>
      </c>
      <c r="C10" s="64">
        <f aca="true" t="shared" si="2" ref="C10:H10">SUM(C11:C16)</f>
        <v>706136</v>
      </c>
      <c r="D10" s="64">
        <f t="shared" si="2"/>
        <v>613274</v>
      </c>
      <c r="E10" s="64">
        <f t="shared" si="2"/>
        <v>92862</v>
      </c>
      <c r="F10" s="65">
        <f t="shared" si="2"/>
        <v>670972.8222330001</v>
      </c>
      <c r="G10" s="65">
        <f t="shared" si="2"/>
        <v>571630.4425460001</v>
      </c>
      <c r="H10" s="65">
        <f t="shared" si="2"/>
        <v>99342.379687</v>
      </c>
      <c r="I10" s="66">
        <f t="shared" si="0"/>
        <v>0.9502033917446499</v>
      </c>
      <c r="J10" s="66">
        <f t="shared" si="0"/>
        <v>0.9320963265131086</v>
      </c>
      <c r="K10" s="66">
        <f t="shared" si="0"/>
        <v>1.0697850540264047</v>
      </c>
    </row>
    <row r="11" spans="1:11" ht="15.75">
      <c r="A11" s="34">
        <v>1</v>
      </c>
      <c r="B11" s="35" t="s">
        <v>174</v>
      </c>
      <c r="C11" s="67">
        <f>SUM(D11:E11)</f>
        <v>591136</v>
      </c>
      <c r="D11" s="67">
        <v>561674</v>
      </c>
      <c r="E11" s="67">
        <v>29462</v>
      </c>
      <c r="F11" s="68">
        <f aca="true" t="shared" si="3" ref="F11:F17">SUM(G11:H11)</f>
        <v>506760.588223</v>
      </c>
      <c r="G11" s="68">
        <v>469429.842246</v>
      </c>
      <c r="H11" s="68">
        <v>37330.745977</v>
      </c>
      <c r="I11" s="69">
        <f t="shared" si="0"/>
        <v>0.8572656515979402</v>
      </c>
      <c r="J11" s="69">
        <f t="shared" si="0"/>
        <v>0.8357692224421996</v>
      </c>
      <c r="K11" s="69">
        <f t="shared" si="0"/>
        <v>1.26708118854796</v>
      </c>
    </row>
    <row r="12" spans="1:11" ht="15.75">
      <c r="A12" s="34">
        <v>2</v>
      </c>
      <c r="B12" s="35" t="s">
        <v>175</v>
      </c>
      <c r="C12" s="67">
        <f aca="true" t="shared" si="4" ref="C12:C17">SUM(D12:E12)</f>
        <v>95000</v>
      </c>
      <c r="D12" s="67">
        <f>15800+15800</f>
        <v>31600</v>
      </c>
      <c r="E12" s="67">
        <v>63400</v>
      </c>
      <c r="F12" s="68">
        <f t="shared" si="3"/>
        <v>83891.70146899999</v>
      </c>
      <c r="G12" s="68">
        <v>24635.424667</v>
      </c>
      <c r="H12" s="68">
        <v>59256.276802</v>
      </c>
      <c r="I12" s="69">
        <f t="shared" si="0"/>
        <v>0.8830705417789473</v>
      </c>
      <c r="J12" s="69">
        <f t="shared" si="0"/>
        <v>0.7796020464240506</v>
      </c>
      <c r="K12" s="69">
        <f t="shared" si="0"/>
        <v>0.9346415899369085</v>
      </c>
    </row>
    <row r="13" spans="1:11" ht="15.75">
      <c r="A13" s="34">
        <v>3</v>
      </c>
      <c r="B13" s="35" t="s">
        <v>178</v>
      </c>
      <c r="C13" s="67">
        <f t="shared" si="4"/>
        <v>20000</v>
      </c>
      <c r="D13" s="67">
        <v>20000</v>
      </c>
      <c r="E13" s="67"/>
      <c r="F13" s="68">
        <f t="shared" si="3"/>
        <v>16944.565</v>
      </c>
      <c r="G13" s="68">
        <v>16944.565</v>
      </c>
      <c r="H13" s="68"/>
      <c r="I13" s="69">
        <f>F13/C13</f>
        <v>0.8472282499999999</v>
      </c>
      <c r="J13" s="69">
        <f>G13/D13</f>
        <v>0.8472282499999999</v>
      </c>
      <c r="K13" s="69"/>
    </row>
    <row r="14" spans="1:11" ht="15.75">
      <c r="A14" s="34">
        <v>4</v>
      </c>
      <c r="B14" s="35" t="s">
        <v>179</v>
      </c>
      <c r="C14" s="67">
        <f t="shared" si="4"/>
        <v>0</v>
      </c>
      <c r="D14" s="67"/>
      <c r="E14" s="67"/>
      <c r="F14" s="68">
        <f>SUM(G14:H14)</f>
        <v>38881.191452</v>
      </c>
      <c r="G14" s="68">
        <v>36525.834544</v>
      </c>
      <c r="H14" s="68">
        <v>2355.356908</v>
      </c>
      <c r="I14" s="69"/>
      <c r="J14" s="69"/>
      <c r="K14" s="69"/>
    </row>
    <row r="15" spans="1:11" ht="15.75">
      <c r="A15" s="34">
        <v>5</v>
      </c>
      <c r="B15" s="35" t="s">
        <v>386</v>
      </c>
      <c r="C15" s="67">
        <f t="shared" si="4"/>
        <v>0</v>
      </c>
      <c r="D15" s="67"/>
      <c r="E15" s="67"/>
      <c r="F15" s="68">
        <f t="shared" si="3"/>
        <v>24094.776089</v>
      </c>
      <c r="G15" s="68">
        <v>24094.776089</v>
      </c>
      <c r="H15" s="68"/>
      <c r="I15" s="69"/>
      <c r="J15" s="69"/>
      <c r="K15" s="69"/>
    </row>
    <row r="16" spans="1:11" ht="15.75">
      <c r="A16" s="34">
        <v>6</v>
      </c>
      <c r="B16" s="35" t="s">
        <v>177</v>
      </c>
      <c r="C16" s="67">
        <f t="shared" si="4"/>
        <v>0</v>
      </c>
      <c r="D16" s="67"/>
      <c r="E16" s="67"/>
      <c r="F16" s="68">
        <f t="shared" si="3"/>
        <v>400</v>
      </c>
      <c r="G16" s="68"/>
      <c r="H16" s="68">
        <v>400</v>
      </c>
      <c r="I16" s="69"/>
      <c r="J16" s="69"/>
      <c r="K16" s="69"/>
    </row>
    <row r="17" spans="1:11" ht="15.75">
      <c r="A17" s="36" t="s">
        <v>87</v>
      </c>
      <c r="B17" s="37" t="s">
        <v>94</v>
      </c>
      <c r="C17" s="64">
        <f t="shared" si="4"/>
        <v>6158349</v>
      </c>
      <c r="D17" s="64">
        <v>1905792</v>
      </c>
      <c r="E17" s="64">
        <v>4252557</v>
      </c>
      <c r="F17" s="65">
        <f t="shared" si="3"/>
        <v>6525580.833788</v>
      </c>
      <c r="G17" s="65">
        <v>1936228.991994</v>
      </c>
      <c r="H17" s="65">
        <v>4589351.841794</v>
      </c>
      <c r="I17" s="66">
        <f>F17/C17</f>
        <v>1.0596315398474494</v>
      </c>
      <c r="J17" s="66">
        <f>G17/D17</f>
        <v>1.0159707837969727</v>
      </c>
      <c r="K17" s="66">
        <f>H17/E17</f>
        <v>1.079198195766453</v>
      </c>
    </row>
    <row r="18" spans="1:11" s="119" customFormat="1" ht="15.75">
      <c r="A18" s="114"/>
      <c r="B18" s="38" t="s">
        <v>337</v>
      </c>
      <c r="C18" s="70"/>
      <c r="D18" s="70"/>
      <c r="E18" s="70"/>
      <c r="F18" s="118"/>
      <c r="G18" s="118"/>
      <c r="H18" s="118"/>
      <c r="I18" s="120"/>
      <c r="J18" s="120"/>
      <c r="K18" s="120"/>
    </row>
    <row r="19" spans="1:11" s="119" customFormat="1" ht="15.75">
      <c r="A19" s="114">
        <v>1</v>
      </c>
      <c r="B19" s="38" t="s">
        <v>283</v>
      </c>
      <c r="C19" s="70">
        <f>SUM(D19:E19)</f>
        <v>3079245</v>
      </c>
      <c r="D19" s="70">
        <v>513999</v>
      </c>
      <c r="E19" s="70">
        <v>2565246</v>
      </c>
      <c r="F19" s="118">
        <f>SUM(G19:H19)</f>
        <v>3179395.4252669998</v>
      </c>
      <c r="G19" s="118">
        <v>507509.158666</v>
      </c>
      <c r="H19" s="118">
        <v>2671886.266601</v>
      </c>
      <c r="I19" s="120">
        <f aca="true" t="shared" si="5" ref="I19:K20">F19/C19</f>
        <v>1.0325243445282852</v>
      </c>
      <c r="J19" s="120">
        <f t="shared" si="5"/>
        <v>0.9873738249802042</v>
      </c>
      <c r="K19" s="120">
        <f t="shared" si="5"/>
        <v>1.041571165728745</v>
      </c>
    </row>
    <row r="20" spans="1:11" s="119" customFormat="1" ht="15.75">
      <c r="A20" s="114">
        <v>2</v>
      </c>
      <c r="B20" s="38" t="s">
        <v>284</v>
      </c>
      <c r="C20" s="70">
        <f>SUM(D20:E20)</f>
        <v>12610</v>
      </c>
      <c r="D20" s="70">
        <v>10060</v>
      </c>
      <c r="E20" s="70">
        <v>2550</v>
      </c>
      <c r="F20" s="118">
        <f>SUM(G20:H20)</f>
        <v>12317.743805999999</v>
      </c>
      <c r="G20" s="118">
        <v>9440.388534</v>
      </c>
      <c r="H20" s="118">
        <v>2877.355272</v>
      </c>
      <c r="I20" s="120">
        <f t="shared" si="5"/>
        <v>0.9768234580491673</v>
      </c>
      <c r="J20" s="120">
        <f t="shared" si="5"/>
        <v>0.9384084029821074</v>
      </c>
      <c r="K20" s="120">
        <f t="shared" si="5"/>
        <v>1.1283746164705881</v>
      </c>
    </row>
    <row r="21" spans="1:11" ht="15.75">
      <c r="A21" s="36" t="s">
        <v>88</v>
      </c>
      <c r="B21" s="37" t="s">
        <v>95</v>
      </c>
      <c r="C21" s="64">
        <f>SUM(D21:E21)</f>
        <v>1543</v>
      </c>
      <c r="D21" s="64">
        <v>1543</v>
      </c>
      <c r="E21" s="64"/>
      <c r="F21" s="68">
        <f>SUM(G21:H21)</f>
        <v>787.62502</v>
      </c>
      <c r="G21" s="68">
        <v>787.62502</v>
      </c>
      <c r="H21" s="68"/>
      <c r="I21" s="69">
        <f aca="true" t="shared" si="6" ref="I21:J23">F21/C21</f>
        <v>0.5104504342190538</v>
      </c>
      <c r="J21" s="69">
        <f t="shared" si="6"/>
        <v>0.5104504342190538</v>
      </c>
      <c r="K21" s="69"/>
    </row>
    <row r="22" spans="1:11" ht="15.75">
      <c r="A22" s="36" t="s">
        <v>89</v>
      </c>
      <c r="B22" s="37" t="s">
        <v>138</v>
      </c>
      <c r="C22" s="64">
        <v>1000</v>
      </c>
      <c r="D22" s="64">
        <v>1000</v>
      </c>
      <c r="E22" s="64"/>
      <c r="F22" s="68">
        <v>1000</v>
      </c>
      <c r="G22" s="68">
        <v>1000</v>
      </c>
      <c r="H22" s="68"/>
      <c r="I22" s="69">
        <f t="shared" si="6"/>
        <v>1</v>
      </c>
      <c r="J22" s="69">
        <f t="shared" si="6"/>
        <v>1</v>
      </c>
      <c r="K22" s="69"/>
    </row>
    <row r="23" spans="1:11" ht="15.75">
      <c r="A23" s="36" t="s">
        <v>334</v>
      </c>
      <c r="B23" s="37" t="s">
        <v>139</v>
      </c>
      <c r="C23" s="64">
        <f>SUM(D23:E23)</f>
        <v>135810</v>
      </c>
      <c r="D23" s="64">
        <v>51628</v>
      </c>
      <c r="E23" s="64">
        <v>84182</v>
      </c>
      <c r="F23" s="68"/>
      <c r="G23" s="68"/>
      <c r="H23" s="68"/>
      <c r="I23" s="69">
        <f t="shared" si="6"/>
        <v>0</v>
      </c>
      <c r="J23" s="69">
        <f t="shared" si="6"/>
        <v>0</v>
      </c>
      <c r="K23" s="69">
        <f>H23/E23</f>
        <v>0</v>
      </c>
    </row>
    <row r="24" spans="1:11" ht="15.75">
      <c r="A24" s="36" t="s">
        <v>286</v>
      </c>
      <c r="B24" s="37" t="s">
        <v>96</v>
      </c>
      <c r="C24" s="64">
        <f>SUM(D24:E24)</f>
        <v>39351</v>
      </c>
      <c r="D24" s="64">
        <v>39351</v>
      </c>
      <c r="E24" s="64"/>
      <c r="F24" s="68"/>
      <c r="G24" s="68"/>
      <c r="H24" s="68"/>
      <c r="I24" s="69">
        <f aca="true" t="shared" si="7" ref="I24:I71">F24/C24</f>
        <v>0</v>
      </c>
      <c r="J24" s="69">
        <f aca="true" t="shared" si="8" ref="J24:J71">G24/D24</f>
        <v>0</v>
      </c>
      <c r="K24" s="69"/>
    </row>
    <row r="25" spans="1:12" ht="15.75">
      <c r="A25" s="36" t="s">
        <v>84</v>
      </c>
      <c r="B25" s="37" t="s">
        <v>287</v>
      </c>
      <c r="C25" s="64">
        <f aca="true" t="shared" si="9" ref="C25:H25">SUM(C26,C42)</f>
        <v>2019238</v>
      </c>
      <c r="D25" s="64">
        <f t="shared" si="9"/>
        <v>1383435</v>
      </c>
      <c r="E25" s="64">
        <f t="shared" si="9"/>
        <v>635803</v>
      </c>
      <c r="F25" s="65">
        <f t="shared" si="9"/>
        <v>1826198.3213199996</v>
      </c>
      <c r="G25" s="65">
        <f t="shared" si="9"/>
        <v>1109627.3229319998</v>
      </c>
      <c r="H25" s="65">
        <f t="shared" si="9"/>
        <v>716570.998388</v>
      </c>
      <c r="I25" s="66">
        <f t="shared" si="7"/>
        <v>0.9043997395651229</v>
      </c>
      <c r="J25" s="66">
        <f t="shared" si="8"/>
        <v>0.8020812853021644</v>
      </c>
      <c r="K25" s="66">
        <f aca="true" t="shared" si="10" ref="K25:K71">H25/E25</f>
        <v>1.1270330564467295</v>
      </c>
      <c r="L25" s="79"/>
    </row>
    <row r="26" spans="1:11" ht="15.75">
      <c r="A26" s="36" t="s">
        <v>91</v>
      </c>
      <c r="B26" s="37" t="s">
        <v>141</v>
      </c>
      <c r="C26" s="64">
        <f aca="true" t="shared" si="11" ref="C26:H26">SUM(C27,C37)</f>
        <v>601848</v>
      </c>
      <c r="D26" s="64">
        <f t="shared" si="11"/>
        <v>35890</v>
      </c>
      <c r="E26" s="64">
        <f t="shared" si="11"/>
        <v>565958</v>
      </c>
      <c r="F26" s="65">
        <f t="shared" si="11"/>
        <v>598256.434579</v>
      </c>
      <c r="G26" s="65">
        <f t="shared" si="11"/>
        <v>13379.192317000001</v>
      </c>
      <c r="H26" s="65">
        <f t="shared" si="11"/>
        <v>584877.242262</v>
      </c>
      <c r="I26" s="66">
        <f t="shared" si="7"/>
        <v>0.9940324377234784</v>
      </c>
      <c r="J26" s="66">
        <f t="shared" si="8"/>
        <v>0.3727832910838674</v>
      </c>
      <c r="K26" s="66">
        <f t="shared" si="10"/>
        <v>1.0334287036529213</v>
      </c>
    </row>
    <row r="27" spans="1:11" ht="15.75">
      <c r="A27" s="36">
        <v>1</v>
      </c>
      <c r="B27" s="72" t="s">
        <v>146</v>
      </c>
      <c r="C27" s="64">
        <f aca="true" t="shared" si="12" ref="C27:H27">SUM(C28,C31,C34,C35,C36)</f>
        <v>385148</v>
      </c>
      <c r="D27" s="64">
        <f t="shared" si="12"/>
        <v>29875</v>
      </c>
      <c r="E27" s="64">
        <f t="shared" si="12"/>
        <v>355273</v>
      </c>
      <c r="F27" s="65">
        <f t="shared" si="12"/>
        <v>379405.808281</v>
      </c>
      <c r="G27" s="65">
        <f t="shared" si="12"/>
        <v>7246.5993</v>
      </c>
      <c r="H27" s="65">
        <f t="shared" si="12"/>
        <v>372159.208981</v>
      </c>
      <c r="I27" s="66">
        <f t="shared" si="7"/>
        <v>0.9850909475863824</v>
      </c>
      <c r="J27" s="66">
        <f t="shared" si="8"/>
        <v>0.24256399330543932</v>
      </c>
      <c r="K27" s="66">
        <f t="shared" si="10"/>
        <v>1.047530234442246</v>
      </c>
    </row>
    <row r="28" spans="1:11" ht="15.75">
      <c r="A28" s="18" t="s">
        <v>147</v>
      </c>
      <c r="B28" s="72" t="s">
        <v>148</v>
      </c>
      <c r="C28" s="64">
        <f aca="true" t="shared" si="13" ref="C28:H28">SUM(C29:C30)</f>
        <v>238943</v>
      </c>
      <c r="D28" s="64">
        <f t="shared" si="13"/>
        <v>22879</v>
      </c>
      <c r="E28" s="64">
        <f t="shared" si="13"/>
        <v>216064</v>
      </c>
      <c r="F28" s="65">
        <f t="shared" si="13"/>
        <v>207174.717661</v>
      </c>
      <c r="G28" s="65">
        <f t="shared" si="13"/>
        <v>294</v>
      </c>
      <c r="H28" s="65">
        <f t="shared" si="13"/>
        <v>206880.717661</v>
      </c>
      <c r="I28" s="66">
        <f t="shared" si="7"/>
        <v>0.867046608023671</v>
      </c>
      <c r="J28" s="66">
        <f t="shared" si="8"/>
        <v>0.012850211984789545</v>
      </c>
      <c r="K28" s="66">
        <f t="shared" si="10"/>
        <v>0.9574973973498593</v>
      </c>
    </row>
    <row r="29" spans="1:11" ht="15.75">
      <c r="A29" s="73"/>
      <c r="B29" s="71" t="s">
        <v>157</v>
      </c>
      <c r="C29" s="67">
        <f>SUM(D29:E29)</f>
        <v>168565</v>
      </c>
      <c r="D29" s="67">
        <v>22585</v>
      </c>
      <c r="E29" s="67">
        <f>113880+32100</f>
        <v>145980</v>
      </c>
      <c r="F29" s="68">
        <f>SUM(G29:H29)</f>
        <v>142865.734948</v>
      </c>
      <c r="G29" s="68"/>
      <c r="H29" s="68">
        <v>142865.734948</v>
      </c>
      <c r="I29" s="69">
        <f t="shared" si="7"/>
        <v>0.8475409186248628</v>
      </c>
      <c r="J29" s="69"/>
      <c r="K29" s="69">
        <f t="shared" si="10"/>
        <v>0.978666495054117</v>
      </c>
    </row>
    <row r="30" spans="1:11" ht="15.75">
      <c r="A30" s="73"/>
      <c r="B30" s="71" t="s">
        <v>158</v>
      </c>
      <c r="C30" s="67">
        <f>SUM(D30:E30)</f>
        <v>70378</v>
      </c>
      <c r="D30" s="67">
        <v>294</v>
      </c>
      <c r="E30" s="67">
        <v>70084</v>
      </c>
      <c r="F30" s="68">
        <f>SUM(G30:H30)</f>
        <v>64308.982713000005</v>
      </c>
      <c r="G30" s="68">
        <v>294</v>
      </c>
      <c r="H30" s="68">
        <f>206880.717661-H29</f>
        <v>64014.982713000005</v>
      </c>
      <c r="I30" s="69">
        <f t="shared" si="7"/>
        <v>0.9137654197760664</v>
      </c>
      <c r="J30" s="69">
        <f t="shared" si="8"/>
        <v>1</v>
      </c>
      <c r="K30" s="69">
        <f t="shared" si="10"/>
        <v>0.9134036686404886</v>
      </c>
    </row>
    <row r="31" spans="1:11" ht="15.75">
      <c r="A31" s="18" t="s">
        <v>149</v>
      </c>
      <c r="B31" s="17" t="s">
        <v>150</v>
      </c>
      <c r="C31" s="64">
        <f aca="true" t="shared" si="14" ref="C31:H31">SUM(C32:C33)</f>
        <v>144229</v>
      </c>
      <c r="D31" s="64">
        <f t="shared" si="14"/>
        <v>6349</v>
      </c>
      <c r="E31" s="64">
        <f t="shared" si="14"/>
        <v>137880</v>
      </c>
      <c r="F31" s="65">
        <f t="shared" si="14"/>
        <v>170357.77312000003</v>
      </c>
      <c r="G31" s="65">
        <f t="shared" si="14"/>
        <v>6306.401</v>
      </c>
      <c r="H31" s="65">
        <f t="shared" si="14"/>
        <v>164051.37212</v>
      </c>
      <c r="I31" s="66">
        <f t="shared" si="7"/>
        <v>1.1811617158823817</v>
      </c>
      <c r="J31" s="66">
        <f t="shared" si="8"/>
        <v>0.9932904394392817</v>
      </c>
      <c r="K31" s="66">
        <f t="shared" si="10"/>
        <v>1.1898126785610676</v>
      </c>
    </row>
    <row r="32" spans="1:11" ht="15.75">
      <c r="A32" s="73"/>
      <c r="B32" s="71" t="s">
        <v>157</v>
      </c>
      <c r="C32" s="67">
        <f>SUM(D32:E32)</f>
        <v>104504</v>
      </c>
      <c r="D32" s="67"/>
      <c r="E32" s="67">
        <v>104504</v>
      </c>
      <c r="F32" s="68">
        <f>SUM(G32:H32)</f>
        <v>131346.840912</v>
      </c>
      <c r="G32" s="68"/>
      <c r="H32" s="68">
        <v>131346.840912</v>
      </c>
      <c r="I32" s="69">
        <f t="shared" si="7"/>
        <v>1.256859459082906</v>
      </c>
      <c r="J32" s="69"/>
      <c r="K32" s="69">
        <f t="shared" si="10"/>
        <v>1.256859459082906</v>
      </c>
    </row>
    <row r="33" spans="1:11" ht="15.75">
      <c r="A33" s="73"/>
      <c r="B33" s="71" t="s">
        <v>158</v>
      </c>
      <c r="C33" s="67">
        <f>SUM(D33:E33)</f>
        <v>39725</v>
      </c>
      <c r="D33" s="67">
        <v>6349</v>
      </c>
      <c r="E33" s="67">
        <v>33376</v>
      </c>
      <c r="F33" s="68">
        <f>SUM(G33:H33)</f>
        <v>39010.932208</v>
      </c>
      <c r="G33" s="68">
        <v>6306.401</v>
      </c>
      <c r="H33" s="68">
        <f>164051.37212-H32</f>
        <v>32704.531208</v>
      </c>
      <c r="I33" s="69">
        <f t="shared" si="7"/>
        <v>0.9820247251856513</v>
      </c>
      <c r="J33" s="69">
        <f t="shared" si="8"/>
        <v>0.9932904394392817</v>
      </c>
      <c r="K33" s="69">
        <f t="shared" si="10"/>
        <v>0.9798816876797699</v>
      </c>
    </row>
    <row r="34" spans="1:11" s="121" customFormat="1" ht="60.75" customHeight="1">
      <c r="A34" s="18" t="s">
        <v>151</v>
      </c>
      <c r="B34" s="17" t="s">
        <v>152</v>
      </c>
      <c r="C34" s="64">
        <f>SUM(D34:E34)</f>
        <v>189</v>
      </c>
      <c r="D34" s="64"/>
      <c r="E34" s="64">
        <v>189</v>
      </c>
      <c r="F34" s="65">
        <f>SUM(G34:H34)</f>
        <v>180.4325</v>
      </c>
      <c r="G34" s="65"/>
      <c r="H34" s="65">
        <v>180.4325</v>
      </c>
      <c r="I34" s="66">
        <f t="shared" si="7"/>
        <v>0.9546693121693122</v>
      </c>
      <c r="J34" s="66"/>
      <c r="K34" s="66">
        <f t="shared" si="10"/>
        <v>0.9546693121693122</v>
      </c>
    </row>
    <row r="35" spans="1:11" s="121" customFormat="1" ht="30.75" customHeight="1">
      <c r="A35" s="18" t="s">
        <v>153</v>
      </c>
      <c r="B35" s="17" t="s">
        <v>154</v>
      </c>
      <c r="C35" s="64">
        <f>SUM(D35:E35)</f>
        <v>929</v>
      </c>
      <c r="D35" s="64">
        <v>409</v>
      </c>
      <c r="E35" s="64">
        <v>520</v>
      </c>
      <c r="F35" s="65">
        <f>SUM(G35:H35)</f>
        <v>887.4557</v>
      </c>
      <c r="G35" s="65">
        <v>408.895</v>
      </c>
      <c r="H35" s="65">
        <v>478.5607</v>
      </c>
      <c r="I35" s="66">
        <f t="shared" si="7"/>
        <v>0.9552806243272336</v>
      </c>
      <c r="J35" s="66">
        <f t="shared" si="8"/>
        <v>0.9997432762836186</v>
      </c>
      <c r="K35" s="66">
        <f t="shared" si="10"/>
        <v>0.9203090384615384</v>
      </c>
    </row>
    <row r="36" spans="1:11" s="121" customFormat="1" ht="43.5" customHeight="1">
      <c r="A36" s="18" t="s">
        <v>155</v>
      </c>
      <c r="B36" s="17" t="s">
        <v>156</v>
      </c>
      <c r="C36" s="64">
        <f>SUM(D36:E36)</f>
        <v>858</v>
      </c>
      <c r="D36" s="64">
        <v>238</v>
      </c>
      <c r="E36" s="64">
        <v>620</v>
      </c>
      <c r="F36" s="65">
        <f>SUM(G36:H36)</f>
        <v>805.4293</v>
      </c>
      <c r="G36" s="65">
        <v>237.3033</v>
      </c>
      <c r="H36" s="65">
        <v>568.126</v>
      </c>
      <c r="I36" s="66">
        <f t="shared" si="7"/>
        <v>0.9387287878787879</v>
      </c>
      <c r="J36" s="66">
        <f t="shared" si="8"/>
        <v>0.9970726890756303</v>
      </c>
      <c r="K36" s="66">
        <f t="shared" si="10"/>
        <v>0.9163322580645161</v>
      </c>
    </row>
    <row r="37" spans="1:11" ht="22.5" customHeight="1">
      <c r="A37" s="18">
        <v>3</v>
      </c>
      <c r="B37" s="19" t="s">
        <v>159</v>
      </c>
      <c r="C37" s="64">
        <f aca="true" t="shared" si="15" ref="C37:H37">SUM(C38,C41)</f>
        <v>216700</v>
      </c>
      <c r="D37" s="64">
        <f t="shared" si="15"/>
        <v>6015</v>
      </c>
      <c r="E37" s="64">
        <f t="shared" si="15"/>
        <v>210685</v>
      </c>
      <c r="F37" s="65">
        <f t="shared" si="15"/>
        <v>218850.626298</v>
      </c>
      <c r="G37" s="65">
        <f t="shared" si="15"/>
        <v>6132.593017</v>
      </c>
      <c r="H37" s="65">
        <f t="shared" si="15"/>
        <v>212718.033281</v>
      </c>
      <c r="I37" s="66">
        <f t="shared" si="7"/>
        <v>1.0099244406922012</v>
      </c>
      <c r="J37" s="66">
        <f t="shared" si="8"/>
        <v>1.019549961263508</v>
      </c>
      <c r="K37" s="66">
        <f t="shared" si="10"/>
        <v>1.0096496346726156</v>
      </c>
    </row>
    <row r="38" spans="1:11" ht="15.75">
      <c r="A38" s="18"/>
      <c r="B38" s="19" t="s">
        <v>160</v>
      </c>
      <c r="C38" s="64">
        <f aca="true" t="shared" si="16" ref="C38:H38">SUM(C39:C40)</f>
        <v>141100</v>
      </c>
      <c r="D38" s="64">
        <f t="shared" si="16"/>
        <v>0</v>
      </c>
      <c r="E38" s="64">
        <f t="shared" si="16"/>
        <v>141100</v>
      </c>
      <c r="F38" s="65">
        <f t="shared" si="16"/>
        <v>150205.577189</v>
      </c>
      <c r="G38" s="65">
        <f t="shared" si="16"/>
        <v>174.106</v>
      </c>
      <c r="H38" s="65">
        <f t="shared" si="16"/>
        <v>150031.471189</v>
      </c>
      <c r="I38" s="66">
        <f t="shared" si="7"/>
        <v>1.0645327936853295</v>
      </c>
      <c r="J38" s="66"/>
      <c r="K38" s="66">
        <f t="shared" si="10"/>
        <v>1.0632988744790928</v>
      </c>
    </row>
    <row r="39" spans="1:11" ht="15.75">
      <c r="A39" s="73"/>
      <c r="B39" s="20" t="s">
        <v>161</v>
      </c>
      <c r="C39" s="67">
        <f>SUM(D39:E39)</f>
        <v>141100</v>
      </c>
      <c r="D39" s="67"/>
      <c r="E39" s="67">
        <v>141100</v>
      </c>
      <c r="F39" s="68">
        <f>SUM(G39:H39)</f>
        <v>149551.577189</v>
      </c>
      <c r="G39" s="68">
        <v>174.106</v>
      </c>
      <c r="H39" s="68">
        <v>149377.471189</v>
      </c>
      <c r="I39" s="69">
        <f t="shared" si="7"/>
        <v>1.0598977830545713</v>
      </c>
      <c r="J39" s="69"/>
      <c r="K39" s="69">
        <f t="shared" si="10"/>
        <v>1.0586638638483346</v>
      </c>
    </row>
    <row r="40" spans="1:11" ht="15.75">
      <c r="A40" s="73"/>
      <c r="B40" s="20" t="s">
        <v>162</v>
      </c>
      <c r="C40" s="67"/>
      <c r="D40" s="67"/>
      <c r="E40" s="67"/>
      <c r="F40" s="68">
        <f>SUM(G40:H40)</f>
        <v>654</v>
      </c>
      <c r="G40" s="68"/>
      <c r="H40" s="68">
        <v>654</v>
      </c>
      <c r="I40" s="69"/>
      <c r="J40" s="69"/>
      <c r="K40" s="69"/>
    </row>
    <row r="41" spans="1:11" s="121" customFormat="1" ht="15.75">
      <c r="A41" s="18"/>
      <c r="B41" s="19" t="s">
        <v>163</v>
      </c>
      <c r="C41" s="64">
        <f>SUM(D41:E41)</f>
        <v>75600</v>
      </c>
      <c r="D41" s="64">
        <v>6015</v>
      </c>
      <c r="E41" s="64">
        <v>69585</v>
      </c>
      <c r="F41" s="65">
        <f>SUM(G41:H41)</f>
        <v>68645.049109</v>
      </c>
      <c r="G41" s="65">
        <v>5958.487017</v>
      </c>
      <c r="H41" s="65">
        <v>62686.562092</v>
      </c>
      <c r="I41" s="66">
        <f t="shared" si="7"/>
        <v>0.9080032950925926</v>
      </c>
      <c r="J41" s="66">
        <f t="shared" si="8"/>
        <v>0.9906046578553617</v>
      </c>
      <c r="K41" s="66">
        <f t="shared" si="10"/>
        <v>0.9008631471150391</v>
      </c>
    </row>
    <row r="42" spans="1:11" ht="15.75">
      <c r="A42" s="36" t="s">
        <v>87</v>
      </c>
      <c r="B42" s="37" t="s">
        <v>21</v>
      </c>
      <c r="C42" s="64">
        <f aca="true" t="shared" si="17" ref="C42:H42">SUM(C43,C51)</f>
        <v>1417390</v>
      </c>
      <c r="D42" s="64">
        <f t="shared" si="17"/>
        <v>1347545</v>
      </c>
      <c r="E42" s="64">
        <f t="shared" si="17"/>
        <v>69845</v>
      </c>
      <c r="F42" s="65">
        <f>SUM(F43,F51)</f>
        <v>1227941.8867409998</v>
      </c>
      <c r="G42" s="65">
        <f t="shared" si="17"/>
        <v>1096248.130615</v>
      </c>
      <c r="H42" s="65">
        <f t="shared" si="17"/>
        <v>131693.756126</v>
      </c>
      <c r="I42" s="66">
        <f t="shared" si="7"/>
        <v>0.8663401651916549</v>
      </c>
      <c r="J42" s="66">
        <f t="shared" si="8"/>
        <v>0.8135150444808893</v>
      </c>
      <c r="K42" s="66">
        <f t="shared" si="10"/>
        <v>1.885514440919178</v>
      </c>
    </row>
    <row r="43" spans="1:11" ht="15.75">
      <c r="A43" s="18">
        <v>1</v>
      </c>
      <c r="B43" s="19" t="s">
        <v>20</v>
      </c>
      <c r="C43" s="64">
        <f aca="true" t="shared" si="18" ref="C43:H43">SUM(C44:C46)</f>
        <v>1230299</v>
      </c>
      <c r="D43" s="64">
        <f t="shared" si="18"/>
        <v>1218781</v>
      </c>
      <c r="E43" s="64">
        <f t="shared" si="18"/>
        <v>11518</v>
      </c>
      <c r="F43" s="65">
        <f>SUM(F44:F46)</f>
        <v>1081430.7863099999</v>
      </c>
      <c r="G43" s="65">
        <f t="shared" si="18"/>
        <v>994125.051485</v>
      </c>
      <c r="H43" s="65">
        <f t="shared" si="18"/>
        <v>87305.73482499999</v>
      </c>
      <c r="I43" s="66">
        <f t="shared" si="7"/>
        <v>0.8789983461825133</v>
      </c>
      <c r="J43" s="66">
        <f t="shared" si="8"/>
        <v>0.8156716025971852</v>
      </c>
      <c r="K43" s="66">
        <f t="shared" si="10"/>
        <v>7.57993877626324</v>
      </c>
    </row>
    <row r="44" spans="1:11" ht="15.75">
      <c r="A44" s="18" t="s">
        <v>147</v>
      </c>
      <c r="B44" s="19" t="s">
        <v>164</v>
      </c>
      <c r="C44" s="64">
        <f>SUM(D44:E44)</f>
        <v>271159</v>
      </c>
      <c r="D44" s="64">
        <v>271159</v>
      </c>
      <c r="E44" s="64"/>
      <c r="F44" s="65">
        <f>SUM(G44:H44)</f>
        <v>373795.048479</v>
      </c>
      <c r="G44" s="65">
        <v>339113.726538</v>
      </c>
      <c r="H44" s="65">
        <v>34681.321941</v>
      </c>
      <c r="I44" s="66">
        <f t="shared" si="7"/>
        <v>1.3785087291183402</v>
      </c>
      <c r="J44" s="66">
        <f t="shared" si="8"/>
        <v>1.2506084125476196</v>
      </c>
      <c r="K44" s="66"/>
    </row>
    <row r="45" spans="1:11" ht="15.75">
      <c r="A45" s="18" t="s">
        <v>149</v>
      </c>
      <c r="B45" s="19" t="s">
        <v>387</v>
      </c>
      <c r="C45" s="64">
        <f>SUM(D45:E45)</f>
        <v>959140</v>
      </c>
      <c r="D45" s="64">
        <v>947622</v>
      </c>
      <c r="E45" s="64">
        <v>11518</v>
      </c>
      <c r="F45" s="65">
        <f>SUM(G45:H45)</f>
        <v>412752.19289199996</v>
      </c>
      <c r="G45" s="65">
        <v>360127.780008</v>
      </c>
      <c r="H45" s="65">
        <v>52624.412884</v>
      </c>
      <c r="I45" s="66">
        <f t="shared" si="7"/>
        <v>0.4303357100027107</v>
      </c>
      <c r="J45" s="66">
        <f t="shared" si="8"/>
        <v>0.3800331566890595</v>
      </c>
      <c r="K45" s="66">
        <f t="shared" si="10"/>
        <v>4.568884605313422</v>
      </c>
    </row>
    <row r="46" spans="1:11" ht="15.75">
      <c r="A46" s="18" t="s">
        <v>151</v>
      </c>
      <c r="B46" s="19" t="s">
        <v>166</v>
      </c>
      <c r="C46" s="67"/>
      <c r="D46" s="67"/>
      <c r="E46" s="67"/>
      <c r="F46" s="65">
        <f>SUM(F47:F50)</f>
        <v>294883.544939</v>
      </c>
      <c r="G46" s="65">
        <f>SUM(G47:G50)</f>
        <v>294883.544939</v>
      </c>
      <c r="H46" s="65"/>
      <c r="I46" s="69"/>
      <c r="J46" s="69"/>
      <c r="K46" s="69"/>
    </row>
    <row r="47" spans="1:11" ht="15.75">
      <c r="A47" s="20"/>
      <c r="B47" s="20" t="s">
        <v>396</v>
      </c>
      <c r="C47" s="67"/>
      <c r="D47" s="67"/>
      <c r="E47" s="67"/>
      <c r="F47" s="68">
        <f>SUM(G47:H47)</f>
        <v>6954.759418</v>
      </c>
      <c r="G47" s="68">
        <v>6954.759418</v>
      </c>
      <c r="H47" s="68"/>
      <c r="I47" s="69"/>
      <c r="J47" s="69"/>
      <c r="K47" s="69"/>
    </row>
    <row r="48" spans="1:11" ht="15.75">
      <c r="A48" s="20"/>
      <c r="B48" s="20" t="s">
        <v>397</v>
      </c>
      <c r="C48" s="67"/>
      <c r="D48" s="67"/>
      <c r="E48" s="67"/>
      <c r="F48" s="68">
        <f>SUM(G48:H48)</f>
        <v>31107.734741</v>
      </c>
      <c r="G48" s="68">
        <v>31107.734741</v>
      </c>
      <c r="H48" s="68"/>
      <c r="I48" s="69"/>
      <c r="J48" s="69"/>
      <c r="K48" s="69"/>
    </row>
    <row r="49" spans="1:11" ht="15.75">
      <c r="A49" s="20"/>
      <c r="B49" s="20" t="s">
        <v>398</v>
      </c>
      <c r="C49" s="67"/>
      <c r="D49" s="67"/>
      <c r="E49" s="67"/>
      <c r="F49" s="68">
        <f>SUM(G49:H49)</f>
        <v>231956.881361</v>
      </c>
      <c r="G49" s="68">
        <v>231956.881361</v>
      </c>
      <c r="H49" s="68"/>
      <c r="I49" s="69"/>
      <c r="J49" s="69"/>
      <c r="K49" s="69"/>
    </row>
    <row r="50" spans="1:11" ht="15.75">
      <c r="A50" s="20"/>
      <c r="B50" s="20" t="s">
        <v>399</v>
      </c>
      <c r="C50" s="67"/>
      <c r="D50" s="67"/>
      <c r="E50" s="67"/>
      <c r="F50" s="68">
        <f>SUM(G50:H50)</f>
        <v>24864.169419</v>
      </c>
      <c r="G50" s="68">
        <v>24864.169419</v>
      </c>
      <c r="H50" s="68"/>
      <c r="I50" s="69"/>
      <c r="J50" s="69"/>
      <c r="K50" s="69"/>
    </row>
    <row r="51" spans="1:11" ht="15.75">
      <c r="A51" s="74">
        <v>2</v>
      </c>
      <c r="B51" s="75" t="s">
        <v>43</v>
      </c>
      <c r="C51" s="64">
        <f aca="true" t="shared" si="19" ref="C51:H51">SUM(C52:C73)</f>
        <v>187091</v>
      </c>
      <c r="D51" s="64">
        <f t="shared" si="19"/>
        <v>128764</v>
      </c>
      <c r="E51" s="64">
        <f t="shared" si="19"/>
        <v>58327</v>
      </c>
      <c r="F51" s="65">
        <f t="shared" si="19"/>
        <v>146511.100431</v>
      </c>
      <c r="G51" s="65">
        <f t="shared" si="19"/>
        <v>102123.07913</v>
      </c>
      <c r="H51" s="65">
        <f t="shared" si="19"/>
        <v>44388.021301</v>
      </c>
      <c r="I51" s="66">
        <f t="shared" si="7"/>
        <v>0.7831007393781636</v>
      </c>
      <c r="J51" s="66">
        <f t="shared" si="8"/>
        <v>0.7931027238203224</v>
      </c>
      <c r="K51" s="66">
        <f t="shared" si="10"/>
        <v>0.7610201330601608</v>
      </c>
    </row>
    <row r="52" spans="1:11" ht="30" customHeight="1">
      <c r="A52" s="29"/>
      <c r="B52" s="22" t="s">
        <v>400</v>
      </c>
      <c r="C52" s="67">
        <f>SUM(D52:E52)</f>
        <v>3580</v>
      </c>
      <c r="D52" s="67">
        <v>3410</v>
      </c>
      <c r="E52" s="67">
        <v>170</v>
      </c>
      <c r="F52" s="68">
        <f>SUM(G52:H52)</f>
        <v>6861.28</v>
      </c>
      <c r="G52" s="68">
        <v>6736.28</v>
      </c>
      <c r="H52" s="68">
        <v>125</v>
      </c>
      <c r="I52" s="69">
        <f t="shared" si="7"/>
        <v>1.916558659217877</v>
      </c>
      <c r="J52" s="69">
        <f t="shared" si="8"/>
        <v>1.975448680351906</v>
      </c>
      <c r="K52" s="69">
        <f t="shared" si="10"/>
        <v>0.7352941176470589</v>
      </c>
    </row>
    <row r="53" spans="1:11" ht="26.25" customHeight="1">
      <c r="A53" s="50"/>
      <c r="B53" s="27" t="s">
        <v>401</v>
      </c>
      <c r="C53" s="67">
        <f>SUM(D53:E53)</f>
        <v>8998</v>
      </c>
      <c r="D53" s="67">
        <v>8998</v>
      </c>
      <c r="E53" s="67"/>
      <c r="F53" s="68">
        <f aca="true" t="shared" si="20" ref="F53:F74">SUM(G53:H53)</f>
        <v>17835.725625</v>
      </c>
      <c r="G53" s="68">
        <v>17835.725625</v>
      </c>
      <c r="H53" s="68"/>
      <c r="I53" s="69">
        <f t="shared" si="7"/>
        <v>1.9821877778395198</v>
      </c>
      <c r="J53" s="69">
        <f t="shared" si="8"/>
        <v>1.9821877778395198</v>
      </c>
      <c r="K53" s="69"/>
    </row>
    <row r="54" spans="1:11" ht="28.5" customHeight="1">
      <c r="A54" s="29"/>
      <c r="B54" s="27" t="s">
        <v>402</v>
      </c>
      <c r="C54" s="67">
        <f>SUM(D54:E54)</f>
        <v>4693</v>
      </c>
      <c r="D54" s="67">
        <v>4393</v>
      </c>
      <c r="E54" s="67">
        <v>300</v>
      </c>
      <c r="F54" s="68">
        <f t="shared" si="20"/>
        <v>5662.407</v>
      </c>
      <c r="G54" s="68">
        <v>5662.407</v>
      </c>
      <c r="H54" s="68"/>
      <c r="I54" s="69">
        <f t="shared" si="7"/>
        <v>1.206564457702962</v>
      </c>
      <c r="J54" s="69">
        <f t="shared" si="8"/>
        <v>1.2889613020714774</v>
      </c>
      <c r="K54" s="69">
        <f t="shared" si="10"/>
        <v>0</v>
      </c>
    </row>
    <row r="55" spans="1:11" ht="39" customHeight="1">
      <c r="A55" s="50"/>
      <c r="B55" s="22" t="s">
        <v>403</v>
      </c>
      <c r="C55" s="67">
        <f>SUM(D55:E55)</f>
        <v>1689</v>
      </c>
      <c r="D55" s="67">
        <v>1343</v>
      </c>
      <c r="E55" s="67">
        <v>346</v>
      </c>
      <c r="F55" s="68">
        <f t="shared" si="20"/>
        <v>6625.4056</v>
      </c>
      <c r="G55" s="68">
        <v>5760.2329</v>
      </c>
      <c r="H55" s="68">
        <v>865.1727</v>
      </c>
      <c r="I55" s="69">
        <f t="shared" si="7"/>
        <v>3.9226794552989936</v>
      </c>
      <c r="J55" s="69">
        <f t="shared" si="8"/>
        <v>4.289078853313478</v>
      </c>
      <c r="K55" s="69">
        <f t="shared" si="10"/>
        <v>2.5004991329479767</v>
      </c>
    </row>
    <row r="56" spans="1:11" ht="19.5" customHeight="1">
      <c r="A56" s="29"/>
      <c r="B56" s="27" t="s">
        <v>404</v>
      </c>
      <c r="C56" s="67">
        <f>SUM(D56:E56)</f>
        <v>22100</v>
      </c>
      <c r="D56" s="67">
        <v>5238</v>
      </c>
      <c r="E56" s="67">
        <v>16862</v>
      </c>
      <c r="F56" s="68">
        <f t="shared" si="20"/>
        <v>39444.942809</v>
      </c>
      <c r="G56" s="68">
        <v>6878.511788</v>
      </c>
      <c r="H56" s="68">
        <v>32566.431021</v>
      </c>
      <c r="I56" s="69">
        <f t="shared" si="7"/>
        <v>1.7848390411312218</v>
      </c>
      <c r="J56" s="69">
        <f t="shared" si="8"/>
        <v>1.3131943085147002</v>
      </c>
      <c r="K56" s="69">
        <f t="shared" si="10"/>
        <v>1.93135043417151</v>
      </c>
    </row>
    <row r="57" spans="1:11" ht="45" customHeight="1">
      <c r="A57" s="50"/>
      <c r="B57" s="22" t="s">
        <v>405</v>
      </c>
      <c r="C57" s="67">
        <f aca="true" t="shared" si="21" ref="C57:C73">SUM(D57:E57)</f>
        <v>2950</v>
      </c>
      <c r="D57" s="67">
        <v>1550</v>
      </c>
      <c r="E57" s="67">
        <v>1400</v>
      </c>
      <c r="F57" s="68">
        <f t="shared" si="20"/>
        <v>7732.129</v>
      </c>
      <c r="G57" s="68">
        <v>4418</v>
      </c>
      <c r="H57" s="68">
        <v>3314.129</v>
      </c>
      <c r="I57" s="69">
        <f t="shared" si="7"/>
        <v>2.621060677966102</v>
      </c>
      <c r="J57" s="69">
        <f t="shared" si="8"/>
        <v>2.850322580645161</v>
      </c>
      <c r="K57" s="69">
        <f t="shared" si="10"/>
        <v>2.367235</v>
      </c>
    </row>
    <row r="58" spans="1:11" ht="34.5" customHeight="1">
      <c r="A58" s="29"/>
      <c r="B58" s="28" t="s">
        <v>406</v>
      </c>
      <c r="C58" s="67">
        <f t="shared" si="21"/>
        <v>0</v>
      </c>
      <c r="D58" s="67"/>
      <c r="E58" s="67"/>
      <c r="F58" s="68">
        <f t="shared" si="20"/>
        <v>7444.864156</v>
      </c>
      <c r="G58" s="68">
        <v>7444.864156</v>
      </c>
      <c r="H58" s="68"/>
      <c r="I58" s="69"/>
      <c r="J58" s="69"/>
      <c r="K58" s="69"/>
    </row>
    <row r="59" spans="1:11" ht="42.75" customHeight="1">
      <c r="A59" s="50"/>
      <c r="B59" s="22" t="s">
        <v>407</v>
      </c>
      <c r="C59" s="67">
        <f t="shared" si="21"/>
        <v>2000</v>
      </c>
      <c r="D59" s="67">
        <v>2000</v>
      </c>
      <c r="E59" s="67"/>
      <c r="F59" s="68">
        <f t="shared" si="20"/>
        <v>2000</v>
      </c>
      <c r="G59" s="68">
        <v>2000</v>
      </c>
      <c r="H59" s="68"/>
      <c r="I59" s="69">
        <f t="shared" si="7"/>
        <v>1</v>
      </c>
      <c r="J59" s="69">
        <f t="shared" si="8"/>
        <v>1</v>
      </c>
      <c r="K59" s="69"/>
    </row>
    <row r="60" spans="1:11" ht="36" customHeight="1">
      <c r="A60" s="29"/>
      <c r="B60" s="22" t="s">
        <v>408</v>
      </c>
      <c r="C60" s="67">
        <f t="shared" si="21"/>
        <v>2086</v>
      </c>
      <c r="D60" s="67">
        <v>2086</v>
      </c>
      <c r="E60" s="67"/>
      <c r="F60" s="68">
        <f t="shared" si="20"/>
        <v>2254.492</v>
      </c>
      <c r="G60" s="68">
        <v>1852.492</v>
      </c>
      <c r="H60" s="68">
        <v>402</v>
      </c>
      <c r="I60" s="69">
        <f t="shared" si="7"/>
        <v>1.080772770853308</v>
      </c>
      <c r="J60" s="69">
        <f t="shared" si="8"/>
        <v>0.8880594439117929</v>
      </c>
      <c r="K60" s="69"/>
    </row>
    <row r="61" spans="1:11" ht="21" customHeight="1">
      <c r="A61" s="50"/>
      <c r="B61" s="27" t="s">
        <v>409</v>
      </c>
      <c r="C61" s="67">
        <f t="shared" si="21"/>
        <v>0</v>
      </c>
      <c r="D61" s="67"/>
      <c r="E61" s="67"/>
      <c r="F61" s="68">
        <f t="shared" si="20"/>
        <v>16204.57</v>
      </c>
      <c r="G61" s="68">
        <v>16204.57</v>
      </c>
      <c r="H61" s="68"/>
      <c r="I61" s="69"/>
      <c r="J61" s="69"/>
      <c r="K61" s="69"/>
    </row>
    <row r="62" spans="1:11" ht="58.5" customHeight="1">
      <c r="A62" s="29"/>
      <c r="B62" s="22" t="s">
        <v>410</v>
      </c>
      <c r="C62" s="67">
        <f t="shared" si="21"/>
        <v>2000</v>
      </c>
      <c r="D62" s="67"/>
      <c r="E62" s="67">
        <v>2000</v>
      </c>
      <c r="F62" s="68">
        <f t="shared" si="20"/>
        <v>1936.592</v>
      </c>
      <c r="G62" s="68">
        <v>26.592</v>
      </c>
      <c r="H62" s="68">
        <v>1910</v>
      </c>
      <c r="I62" s="69">
        <f t="shared" si="7"/>
        <v>0.968296</v>
      </c>
      <c r="J62" s="69"/>
      <c r="K62" s="69">
        <f t="shared" si="10"/>
        <v>0.955</v>
      </c>
    </row>
    <row r="63" spans="1:11" ht="28.5" customHeight="1">
      <c r="A63" s="29"/>
      <c r="B63" s="21" t="s">
        <v>411</v>
      </c>
      <c r="C63" s="67">
        <f t="shared" si="21"/>
        <v>1610</v>
      </c>
      <c r="D63" s="67">
        <v>1610</v>
      </c>
      <c r="E63" s="67"/>
      <c r="F63" s="68">
        <f t="shared" si="20"/>
        <v>895.798</v>
      </c>
      <c r="G63" s="68">
        <v>895.798</v>
      </c>
      <c r="H63" s="68"/>
      <c r="I63" s="69">
        <f t="shared" si="7"/>
        <v>0.5563962732919254</v>
      </c>
      <c r="J63" s="69">
        <f t="shared" si="8"/>
        <v>0.5563962732919254</v>
      </c>
      <c r="K63" s="69"/>
    </row>
    <row r="64" spans="1:11" ht="36.75" customHeight="1">
      <c r="A64" s="50"/>
      <c r="B64" s="22" t="s">
        <v>412</v>
      </c>
      <c r="C64" s="67">
        <f t="shared" si="21"/>
        <v>300</v>
      </c>
      <c r="D64" s="67">
        <v>300</v>
      </c>
      <c r="E64" s="67"/>
      <c r="F64" s="68">
        <f t="shared" si="20"/>
        <v>1450</v>
      </c>
      <c r="G64" s="68">
        <v>1450</v>
      </c>
      <c r="H64" s="68"/>
      <c r="I64" s="69">
        <f t="shared" si="7"/>
        <v>4.833333333333333</v>
      </c>
      <c r="J64" s="69">
        <f t="shared" si="8"/>
        <v>4.833333333333333</v>
      </c>
      <c r="K64" s="69"/>
    </row>
    <row r="65" spans="1:11" ht="31.5">
      <c r="A65" s="29"/>
      <c r="B65" s="22" t="s">
        <v>413</v>
      </c>
      <c r="C65" s="67">
        <f t="shared" si="21"/>
        <v>47000</v>
      </c>
      <c r="D65" s="67">
        <v>47000</v>
      </c>
      <c r="E65" s="67"/>
      <c r="F65" s="68">
        <f t="shared" si="20"/>
        <v>4985.943735</v>
      </c>
      <c r="G65" s="68">
        <v>4743.912635</v>
      </c>
      <c r="H65" s="68">
        <v>242.0311</v>
      </c>
      <c r="I65" s="69">
        <f t="shared" si="7"/>
        <v>0.10608390925531914</v>
      </c>
      <c r="J65" s="69">
        <f t="shared" si="8"/>
        <v>0.10093431138297872</v>
      </c>
      <c r="K65" s="69"/>
    </row>
    <row r="66" spans="1:11" ht="24.75" customHeight="1">
      <c r="A66" s="50"/>
      <c r="B66" s="107" t="s">
        <v>414</v>
      </c>
      <c r="C66" s="67">
        <f t="shared" si="21"/>
        <v>0</v>
      </c>
      <c r="D66" s="67"/>
      <c r="E66" s="67"/>
      <c r="F66" s="68">
        <f t="shared" si="20"/>
        <v>3389.98248</v>
      </c>
      <c r="G66" s="68">
        <v>296.725</v>
      </c>
      <c r="H66" s="68">
        <v>3093.25748</v>
      </c>
      <c r="I66" s="69"/>
      <c r="J66" s="69"/>
      <c r="K66" s="69"/>
    </row>
    <row r="67" spans="1:11" ht="24.75" customHeight="1">
      <c r="A67" s="29"/>
      <c r="B67" s="106" t="s">
        <v>415</v>
      </c>
      <c r="C67" s="67">
        <f t="shared" si="21"/>
        <v>580</v>
      </c>
      <c r="D67" s="67">
        <v>580</v>
      </c>
      <c r="E67" s="67"/>
      <c r="F67" s="68">
        <f t="shared" si="20"/>
        <v>580</v>
      </c>
      <c r="G67" s="68">
        <v>580</v>
      </c>
      <c r="H67" s="68"/>
      <c r="I67" s="69">
        <f t="shared" si="7"/>
        <v>1</v>
      </c>
      <c r="J67" s="69">
        <f t="shared" si="8"/>
        <v>1</v>
      </c>
      <c r="K67" s="69"/>
    </row>
    <row r="68" spans="1:11" ht="31.5">
      <c r="A68" s="50"/>
      <c r="B68" s="22" t="s">
        <v>416</v>
      </c>
      <c r="C68" s="67">
        <f t="shared" si="21"/>
        <v>0</v>
      </c>
      <c r="D68" s="67"/>
      <c r="E68" s="67"/>
      <c r="F68" s="68">
        <f t="shared" si="20"/>
        <v>630</v>
      </c>
      <c r="G68" s="68">
        <v>630</v>
      </c>
      <c r="H68" s="68"/>
      <c r="I68" s="69"/>
      <c r="J68" s="69"/>
      <c r="K68" s="69"/>
    </row>
    <row r="69" spans="1:11" ht="21" customHeight="1">
      <c r="A69" s="29"/>
      <c r="B69" s="106" t="s">
        <v>417</v>
      </c>
      <c r="C69" s="67">
        <f t="shared" si="21"/>
        <v>84559</v>
      </c>
      <c r="D69" s="67">
        <v>47700</v>
      </c>
      <c r="E69" s="67">
        <v>36859</v>
      </c>
      <c r="F69" s="68">
        <f t="shared" si="20"/>
        <v>13766.962644</v>
      </c>
      <c r="G69" s="68">
        <v>13766.962644</v>
      </c>
      <c r="H69" s="68"/>
      <c r="I69" s="69">
        <f t="shared" si="7"/>
        <v>0.16280895757991462</v>
      </c>
      <c r="J69" s="69">
        <f t="shared" si="8"/>
        <v>0.28861556905660374</v>
      </c>
      <c r="K69" s="69">
        <f t="shared" si="10"/>
        <v>0</v>
      </c>
    </row>
    <row r="70" spans="1:11" ht="31.5">
      <c r="A70" s="50"/>
      <c r="B70" s="108" t="s">
        <v>418</v>
      </c>
      <c r="C70" s="67">
        <f t="shared" si="21"/>
        <v>0</v>
      </c>
      <c r="D70" s="67"/>
      <c r="E70" s="67"/>
      <c r="F70" s="68">
        <f t="shared" si="20"/>
        <v>2094.105382</v>
      </c>
      <c r="G70" s="68">
        <v>2094.105382</v>
      </c>
      <c r="H70" s="68"/>
      <c r="I70" s="69"/>
      <c r="J70" s="69"/>
      <c r="K70" s="69"/>
    </row>
    <row r="71" spans="1:11" ht="31.5">
      <c r="A71" s="29"/>
      <c r="B71" s="109" t="s">
        <v>419</v>
      </c>
      <c r="C71" s="67">
        <f t="shared" si="21"/>
        <v>2946</v>
      </c>
      <c r="D71" s="67">
        <v>2556</v>
      </c>
      <c r="E71" s="67">
        <v>390</v>
      </c>
      <c r="F71" s="68">
        <f t="shared" si="20"/>
        <v>2946</v>
      </c>
      <c r="G71" s="68">
        <v>2556</v>
      </c>
      <c r="H71" s="68">
        <v>390</v>
      </c>
      <c r="I71" s="69">
        <f t="shared" si="7"/>
        <v>1</v>
      </c>
      <c r="J71" s="69">
        <f t="shared" si="8"/>
        <v>1</v>
      </c>
      <c r="K71" s="69">
        <f t="shared" si="10"/>
        <v>1</v>
      </c>
    </row>
    <row r="72" spans="1:11" ht="22.5" customHeight="1">
      <c r="A72" s="50"/>
      <c r="B72" s="110" t="s">
        <v>420</v>
      </c>
      <c r="C72" s="67">
        <f t="shared" si="21"/>
        <v>0</v>
      </c>
      <c r="D72" s="67"/>
      <c r="E72" s="67"/>
      <c r="F72" s="68">
        <f t="shared" si="20"/>
        <v>749.9</v>
      </c>
      <c r="G72" s="68">
        <v>289.9</v>
      </c>
      <c r="H72" s="68">
        <v>460</v>
      </c>
      <c r="I72" s="69"/>
      <c r="J72" s="69"/>
      <c r="K72" s="69"/>
    </row>
    <row r="73" spans="1:11" ht="30">
      <c r="A73" s="29"/>
      <c r="B73" s="111" t="s">
        <v>421</v>
      </c>
      <c r="C73" s="67">
        <f t="shared" si="21"/>
        <v>0</v>
      </c>
      <c r="D73" s="67"/>
      <c r="E73" s="67"/>
      <c r="F73" s="68">
        <f t="shared" si="20"/>
        <v>1020</v>
      </c>
      <c r="G73" s="68"/>
      <c r="H73" s="68">
        <v>1020</v>
      </c>
      <c r="I73" s="69"/>
      <c r="J73" s="69"/>
      <c r="K73" s="69"/>
    </row>
    <row r="74" spans="1:11" ht="15.75">
      <c r="A74" s="36" t="s">
        <v>90</v>
      </c>
      <c r="B74" s="37" t="s">
        <v>18</v>
      </c>
      <c r="C74" s="104"/>
      <c r="D74" s="104"/>
      <c r="E74" s="104"/>
      <c r="F74" s="65">
        <f t="shared" si="20"/>
        <v>2264572.233686</v>
      </c>
      <c r="G74" s="243">
        <f>1734906.922322+80335.730462</f>
        <v>1815242.652784</v>
      </c>
      <c r="H74" s="243">
        <v>449329.58090199996</v>
      </c>
      <c r="I74" s="105"/>
      <c r="J74" s="105"/>
      <c r="K74" s="105"/>
    </row>
    <row r="75" spans="1:11" ht="15.75">
      <c r="A75" s="128" t="s">
        <v>92</v>
      </c>
      <c r="B75" s="129" t="s">
        <v>72</v>
      </c>
      <c r="C75" s="104"/>
      <c r="D75" s="104"/>
      <c r="E75" s="104"/>
      <c r="F75" s="131">
        <v>280201</v>
      </c>
      <c r="G75" s="132">
        <v>141057.902598</v>
      </c>
      <c r="H75" s="132">
        <f>F75-G75</f>
        <v>139143.097402</v>
      </c>
      <c r="I75" s="105"/>
      <c r="J75" s="105"/>
      <c r="K75" s="105"/>
    </row>
    <row r="76" spans="1:11" s="122" customFormat="1" ht="27" customHeight="1">
      <c r="A76" s="123"/>
      <c r="B76" s="123"/>
      <c r="C76" s="123"/>
      <c r="D76" s="123"/>
      <c r="E76" s="123"/>
      <c r="F76" s="123"/>
      <c r="G76" s="123"/>
      <c r="H76" s="123"/>
      <c r="I76" s="130"/>
      <c r="J76" s="130"/>
      <c r="K76" s="130"/>
    </row>
  </sheetData>
  <sheetProtection/>
  <mergeCells count="11">
    <mergeCell ref="C5:C6"/>
    <mergeCell ref="D5:E5"/>
    <mergeCell ref="J4:K4"/>
    <mergeCell ref="A2:K2"/>
    <mergeCell ref="I1:K1"/>
    <mergeCell ref="F5:F6"/>
    <mergeCell ref="G5:H5"/>
    <mergeCell ref="I5:K5"/>
    <mergeCell ref="A3:K3"/>
    <mergeCell ref="A5:A6"/>
    <mergeCell ref="B5:B6"/>
  </mergeCells>
  <printOptions horizontalCentered="1"/>
  <pageMargins left="0" right="0" top="0.7086614173228347" bottom="0"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indexed="33"/>
  </sheetPr>
  <dimension ref="A1:AF102"/>
  <sheetViews>
    <sheetView zoomScalePageLayoutView="0" workbookViewId="0" topLeftCell="A1">
      <pane xSplit="2" ySplit="8" topLeftCell="C9" activePane="bottomRight" state="frozen"/>
      <selection pane="topLeft" activeCell="A1" sqref="A1"/>
      <selection pane="topRight" activeCell="C1" sqref="C1"/>
      <selection pane="bottomLeft" activeCell="A14" sqref="A14"/>
      <selection pane="bottomRight" activeCell="H6" sqref="H6:H7"/>
    </sheetView>
  </sheetViews>
  <sheetFormatPr defaultColWidth="9.140625" defaultRowHeight="15"/>
  <cols>
    <col min="1" max="1" width="3.8515625" style="125" customWidth="1"/>
    <col min="2" max="2" width="23.00390625" style="125" customWidth="1"/>
    <col min="3" max="3" width="10.8515625" style="125" customWidth="1"/>
    <col min="4" max="4" width="8.57421875" style="77" customWidth="1"/>
    <col min="5" max="5" width="8.8515625" style="77" customWidth="1"/>
    <col min="6" max="6" width="6.421875" style="77" customWidth="1"/>
    <col min="7" max="7" width="5.8515625" style="77" customWidth="1"/>
    <col min="8" max="8" width="6.57421875" style="77" customWidth="1"/>
    <col min="9" max="9" width="10.7109375" style="125" customWidth="1"/>
    <col min="10" max="10" width="10.140625" style="125" customWidth="1"/>
    <col min="11" max="11" width="11.00390625" style="125" customWidth="1"/>
    <col min="12" max="12" width="6.8515625" style="125" customWidth="1"/>
    <col min="13" max="13" width="7.00390625" style="125" customWidth="1"/>
    <col min="14" max="14" width="8.8515625" style="125" customWidth="1"/>
    <col min="15" max="15" width="6.28125" style="125" customWidth="1"/>
    <col min="16" max="16" width="8.140625" style="125" customWidth="1"/>
    <col min="17" max="17" width="8.57421875" style="125" customWidth="1"/>
    <col min="18" max="18" width="16.421875" style="125" hidden="1" customWidth="1"/>
    <col min="19" max="19" width="15.57421875" style="125" hidden="1" customWidth="1"/>
    <col min="20" max="20" width="17.140625" style="125" hidden="1" customWidth="1"/>
    <col min="21" max="21" width="5.57421875" style="125" customWidth="1"/>
    <col min="22" max="22" width="6.00390625" style="125" customWidth="1"/>
    <col min="23" max="23" width="6.421875" style="125" customWidth="1"/>
    <col min="24" max="24" width="6.7109375" style="125" customWidth="1"/>
    <col min="25" max="26" width="6.8515625" style="125" customWidth="1"/>
    <col min="27" max="27" width="19.00390625" style="124" customWidth="1"/>
    <col min="28" max="30" width="9.140625" style="125" customWidth="1"/>
    <col min="31" max="31" width="12.7109375" style="125" customWidth="1"/>
    <col min="32" max="16384" width="9.140625" style="125" customWidth="1"/>
  </cols>
  <sheetData>
    <row r="1" spans="16:26" ht="15.75">
      <c r="P1" s="157"/>
      <c r="Q1" s="157"/>
      <c r="R1" s="157"/>
      <c r="S1" s="157"/>
      <c r="T1" s="157"/>
      <c r="U1" s="157"/>
      <c r="V1" s="157"/>
      <c r="W1" s="157"/>
      <c r="X1" s="370" t="s">
        <v>27</v>
      </c>
      <c r="Y1" s="370"/>
      <c r="Z1" s="370"/>
    </row>
    <row r="2" spans="1:26" ht="18.75">
      <c r="A2" s="371" t="s">
        <v>16</v>
      </c>
      <c r="B2" s="371"/>
      <c r="C2" s="371"/>
      <c r="D2" s="371"/>
      <c r="E2" s="371"/>
      <c r="F2" s="371"/>
      <c r="G2" s="371"/>
      <c r="H2" s="371"/>
      <c r="I2" s="371"/>
      <c r="J2" s="371"/>
      <c r="K2" s="371"/>
      <c r="L2" s="371"/>
      <c r="M2" s="371"/>
      <c r="N2" s="371"/>
      <c r="O2" s="371"/>
      <c r="P2" s="371"/>
      <c r="Q2" s="371"/>
      <c r="R2" s="371"/>
      <c r="S2" s="371"/>
      <c r="T2" s="371"/>
      <c r="U2" s="371"/>
      <c r="V2" s="371"/>
      <c r="W2" s="371"/>
      <c r="X2" s="371"/>
      <c r="Y2" s="371"/>
      <c r="Z2" s="371"/>
    </row>
    <row r="3" spans="1:26" ht="18.75" customHeight="1">
      <c r="A3" s="390" t="s">
        <v>434</v>
      </c>
      <c r="B3" s="390"/>
      <c r="C3" s="390"/>
      <c r="D3" s="390"/>
      <c r="E3" s="390"/>
      <c r="F3" s="390"/>
      <c r="G3" s="390"/>
      <c r="H3" s="390"/>
      <c r="I3" s="390"/>
      <c r="J3" s="390"/>
      <c r="K3" s="390"/>
      <c r="L3" s="390"/>
      <c r="M3" s="390"/>
      <c r="N3" s="390"/>
      <c r="O3" s="390"/>
      <c r="P3" s="390"/>
      <c r="Q3" s="390"/>
      <c r="R3" s="390"/>
      <c r="S3" s="390"/>
      <c r="T3" s="390"/>
      <c r="U3" s="390"/>
      <c r="V3" s="390"/>
      <c r="W3" s="390"/>
      <c r="X3" s="390"/>
      <c r="Y3" s="390"/>
      <c r="Z3" s="390"/>
    </row>
    <row r="4" spans="1:26" ht="15.75">
      <c r="A4" s="138"/>
      <c r="B4" s="138"/>
      <c r="C4" s="138"/>
      <c r="D4" s="138"/>
      <c r="E4" s="138"/>
      <c r="F4" s="138"/>
      <c r="G4" s="138"/>
      <c r="H4" s="138"/>
      <c r="I4" s="138"/>
      <c r="J4" s="138"/>
      <c r="K4" s="138"/>
      <c r="L4" s="138"/>
      <c r="M4" s="138"/>
      <c r="N4" s="138"/>
      <c r="O4" s="138"/>
      <c r="P4" s="138"/>
      <c r="Q4" s="138"/>
      <c r="R4" s="138"/>
      <c r="S4" s="138"/>
      <c r="T4" s="138"/>
      <c r="U4" s="138"/>
      <c r="V4" s="138"/>
      <c r="W4" s="138"/>
      <c r="X4" s="387" t="s">
        <v>85</v>
      </c>
      <c r="Y4" s="387"/>
      <c r="Z4" s="387"/>
    </row>
    <row r="5" spans="1:27" s="139" customFormat="1" ht="27.75" customHeight="1">
      <c r="A5" s="395" t="s">
        <v>389</v>
      </c>
      <c r="B5" s="395" t="s">
        <v>339</v>
      </c>
      <c r="C5" s="397" t="s">
        <v>116</v>
      </c>
      <c r="D5" s="398"/>
      <c r="E5" s="398"/>
      <c r="F5" s="398"/>
      <c r="G5" s="398"/>
      <c r="H5" s="399"/>
      <c r="I5" s="397" t="s">
        <v>208</v>
      </c>
      <c r="J5" s="398"/>
      <c r="K5" s="398"/>
      <c r="L5" s="398"/>
      <c r="M5" s="398"/>
      <c r="N5" s="398"/>
      <c r="O5" s="398"/>
      <c r="P5" s="398"/>
      <c r="Q5" s="399"/>
      <c r="R5" s="253"/>
      <c r="S5" s="253"/>
      <c r="T5" s="253"/>
      <c r="U5" s="395" t="s">
        <v>274</v>
      </c>
      <c r="V5" s="395"/>
      <c r="W5" s="395"/>
      <c r="X5" s="395"/>
      <c r="Y5" s="395"/>
      <c r="Z5" s="395"/>
      <c r="AA5" s="400"/>
    </row>
    <row r="6" spans="1:27" ht="23.25" customHeight="1">
      <c r="A6" s="395"/>
      <c r="B6" s="395"/>
      <c r="C6" s="395" t="s">
        <v>335</v>
      </c>
      <c r="D6" s="393" t="s">
        <v>272</v>
      </c>
      <c r="E6" s="396" t="s">
        <v>94</v>
      </c>
      <c r="F6" s="393" t="s">
        <v>377</v>
      </c>
      <c r="G6" s="393" t="s">
        <v>138</v>
      </c>
      <c r="H6" s="393" t="s">
        <v>259</v>
      </c>
      <c r="I6" s="395" t="s">
        <v>335</v>
      </c>
      <c r="J6" s="391" t="s">
        <v>382</v>
      </c>
      <c r="K6" s="395" t="s">
        <v>383</v>
      </c>
      <c r="L6" s="391" t="s">
        <v>377</v>
      </c>
      <c r="M6" s="391" t="s">
        <v>138</v>
      </c>
      <c r="N6" s="397" t="s">
        <v>301</v>
      </c>
      <c r="O6" s="398"/>
      <c r="P6" s="399"/>
      <c r="Q6" s="391" t="s">
        <v>25</v>
      </c>
      <c r="R6" s="391" t="s">
        <v>254</v>
      </c>
      <c r="S6" s="391" t="s">
        <v>255</v>
      </c>
      <c r="T6" s="391" t="s">
        <v>384</v>
      </c>
      <c r="U6" s="395" t="s">
        <v>335</v>
      </c>
      <c r="V6" s="391" t="s">
        <v>272</v>
      </c>
      <c r="W6" s="395" t="s">
        <v>94</v>
      </c>
      <c r="X6" s="393" t="s">
        <v>377</v>
      </c>
      <c r="Y6" s="393" t="s">
        <v>138</v>
      </c>
      <c r="Z6" s="393" t="s">
        <v>259</v>
      </c>
      <c r="AA6" s="400"/>
    </row>
    <row r="7" spans="1:27" ht="62.25" customHeight="1">
      <c r="A7" s="395"/>
      <c r="B7" s="395"/>
      <c r="C7" s="395"/>
      <c r="D7" s="394"/>
      <c r="E7" s="396"/>
      <c r="F7" s="394"/>
      <c r="G7" s="394"/>
      <c r="H7" s="394"/>
      <c r="I7" s="395"/>
      <c r="J7" s="392"/>
      <c r="K7" s="395"/>
      <c r="L7" s="392"/>
      <c r="M7" s="392"/>
      <c r="N7" s="255" t="s">
        <v>335</v>
      </c>
      <c r="O7" s="255" t="s">
        <v>312</v>
      </c>
      <c r="P7" s="256" t="s">
        <v>302</v>
      </c>
      <c r="Q7" s="392"/>
      <c r="R7" s="392"/>
      <c r="S7" s="392"/>
      <c r="T7" s="392"/>
      <c r="U7" s="395"/>
      <c r="V7" s="392"/>
      <c r="W7" s="395"/>
      <c r="X7" s="394"/>
      <c r="Y7" s="394"/>
      <c r="Z7" s="394"/>
      <c r="AA7" s="147"/>
    </row>
    <row r="8" spans="1:27" s="140" customFormat="1" ht="38.25" customHeight="1">
      <c r="A8" s="252" t="s">
        <v>83</v>
      </c>
      <c r="B8" s="252" t="s">
        <v>84</v>
      </c>
      <c r="C8" s="252" t="s">
        <v>266</v>
      </c>
      <c r="D8" s="254">
        <v>2</v>
      </c>
      <c r="E8" s="252">
        <v>3</v>
      </c>
      <c r="F8" s="254">
        <v>4</v>
      </c>
      <c r="G8" s="252">
        <v>5</v>
      </c>
      <c r="H8" s="254">
        <v>6</v>
      </c>
      <c r="I8" s="252" t="s">
        <v>265</v>
      </c>
      <c r="J8" s="254">
        <v>8</v>
      </c>
      <c r="K8" s="252">
        <v>9</v>
      </c>
      <c r="L8" s="254">
        <v>10</v>
      </c>
      <c r="M8" s="252">
        <v>11</v>
      </c>
      <c r="N8" s="254">
        <v>12</v>
      </c>
      <c r="O8" s="252">
        <v>13</v>
      </c>
      <c r="P8" s="254">
        <v>14</v>
      </c>
      <c r="Q8" s="252">
        <v>15</v>
      </c>
      <c r="R8" s="254">
        <v>16</v>
      </c>
      <c r="S8" s="252">
        <v>17</v>
      </c>
      <c r="T8" s="254">
        <v>18</v>
      </c>
      <c r="U8" s="252">
        <v>16</v>
      </c>
      <c r="V8" s="252" t="s">
        <v>260</v>
      </c>
      <c r="W8" s="254" t="s">
        <v>261</v>
      </c>
      <c r="X8" s="257" t="s">
        <v>262</v>
      </c>
      <c r="Y8" s="257" t="s">
        <v>263</v>
      </c>
      <c r="Z8" s="257" t="s">
        <v>264</v>
      </c>
      <c r="AA8" s="148"/>
    </row>
    <row r="9" spans="1:27" s="141" customFormat="1" ht="24.75" customHeight="1">
      <c r="A9" s="258"/>
      <c r="B9" s="258" t="s">
        <v>11</v>
      </c>
      <c r="C9" s="259">
        <f aca="true" t="shared" si="0" ref="C9:T9">SUM(C10,C77,C90)</f>
        <v>3729172.323404</v>
      </c>
      <c r="D9" s="260">
        <f t="shared" si="0"/>
        <v>2199213.323404</v>
      </c>
      <c r="E9" s="260">
        <f t="shared" si="0"/>
        <v>1514111</v>
      </c>
      <c r="F9" s="260">
        <f t="shared" si="0"/>
        <v>1543</v>
      </c>
      <c r="G9" s="260">
        <f t="shared" si="0"/>
        <v>1000</v>
      </c>
      <c r="H9" s="260">
        <f t="shared" si="0"/>
        <v>13305</v>
      </c>
      <c r="I9" s="259">
        <f t="shared" si="0"/>
        <v>4312148.043307001</v>
      </c>
      <c r="J9" s="259">
        <f t="shared" si="0"/>
        <v>1565755.494031</v>
      </c>
      <c r="K9" s="259">
        <f t="shared" si="0"/>
        <v>2038352.0711239998</v>
      </c>
      <c r="L9" s="259">
        <f t="shared" si="0"/>
        <v>787.62502</v>
      </c>
      <c r="M9" s="259">
        <f t="shared" si="0"/>
        <v>1000</v>
      </c>
      <c r="N9" s="259">
        <f t="shared" si="0"/>
        <v>13379.192317000001</v>
      </c>
      <c r="O9" s="259">
        <f t="shared" si="0"/>
        <v>174.106</v>
      </c>
      <c r="P9" s="259">
        <f t="shared" si="0"/>
        <v>13205.086317</v>
      </c>
      <c r="Q9" s="259">
        <f t="shared" si="0"/>
        <v>692873.6608150001</v>
      </c>
      <c r="R9" s="261">
        <f t="shared" si="0"/>
        <v>61613.686996000004</v>
      </c>
      <c r="S9" s="261">
        <f t="shared" si="0"/>
        <v>1690</v>
      </c>
      <c r="T9" s="261">
        <f t="shared" si="0"/>
        <v>629569.973819</v>
      </c>
      <c r="U9" s="262">
        <f aca="true" t="shared" si="1" ref="U9:Z10">I9/C9</f>
        <v>1.156328447533596</v>
      </c>
      <c r="V9" s="262">
        <f t="shared" si="1"/>
        <v>0.7119616261725272</v>
      </c>
      <c r="W9" s="262">
        <f t="shared" si="1"/>
        <v>1.3462368816579495</v>
      </c>
      <c r="X9" s="263">
        <f t="shared" si="1"/>
        <v>0.5104504342190538</v>
      </c>
      <c r="Y9" s="263">
        <f t="shared" si="1"/>
        <v>1</v>
      </c>
      <c r="Z9" s="263">
        <f t="shared" si="1"/>
        <v>1.0055762733558813</v>
      </c>
      <c r="AA9" s="149"/>
    </row>
    <row r="10" spans="1:27" s="141" customFormat="1" ht="24.75" customHeight="1">
      <c r="A10" s="264">
        <v>1</v>
      </c>
      <c r="B10" s="265" t="s">
        <v>42</v>
      </c>
      <c r="C10" s="266">
        <f aca="true" t="shared" si="2" ref="C10:T10">SUM(C11:C76)</f>
        <v>2750293.93596</v>
      </c>
      <c r="D10" s="267">
        <f t="shared" si="2"/>
        <v>1235192.9359600001</v>
      </c>
      <c r="E10" s="267">
        <f t="shared" si="2"/>
        <v>1499253</v>
      </c>
      <c r="F10" s="267">
        <f t="shared" si="2"/>
        <v>1543</v>
      </c>
      <c r="G10" s="267">
        <f t="shared" si="2"/>
        <v>1000</v>
      </c>
      <c r="H10" s="267">
        <f t="shared" si="2"/>
        <v>13305</v>
      </c>
      <c r="I10" s="266">
        <f t="shared" si="2"/>
        <v>3341840.9141990007</v>
      </c>
      <c r="J10" s="266">
        <f t="shared" si="2"/>
        <v>825041.1368479999</v>
      </c>
      <c r="K10" s="266">
        <f t="shared" si="2"/>
        <v>2021108.4963179997</v>
      </c>
      <c r="L10" s="266">
        <f t="shared" si="2"/>
        <v>787.62502</v>
      </c>
      <c r="M10" s="266">
        <f t="shared" si="2"/>
        <v>1000</v>
      </c>
      <c r="N10" s="266">
        <f t="shared" si="2"/>
        <v>13379.192317000001</v>
      </c>
      <c r="O10" s="266">
        <f t="shared" si="2"/>
        <v>174.106</v>
      </c>
      <c r="P10" s="266">
        <f t="shared" si="2"/>
        <v>13205.086317</v>
      </c>
      <c r="Q10" s="266">
        <f t="shared" si="2"/>
        <v>480524.463696</v>
      </c>
      <c r="R10" s="268">
        <f t="shared" si="2"/>
        <v>61613.686996000004</v>
      </c>
      <c r="S10" s="268">
        <f t="shared" si="2"/>
        <v>1690</v>
      </c>
      <c r="T10" s="268">
        <f t="shared" si="2"/>
        <v>417220.7767</v>
      </c>
      <c r="U10" s="262">
        <f t="shared" si="1"/>
        <v>1.2150850025535613</v>
      </c>
      <c r="V10" s="262">
        <f t="shared" si="1"/>
        <v>0.6679451548245557</v>
      </c>
      <c r="W10" s="262">
        <f t="shared" si="1"/>
        <v>1.3480770065612673</v>
      </c>
      <c r="X10" s="269">
        <f t="shared" si="1"/>
        <v>0.5104504342190538</v>
      </c>
      <c r="Y10" s="269">
        <f t="shared" si="1"/>
        <v>1</v>
      </c>
      <c r="Z10" s="269">
        <f t="shared" si="1"/>
        <v>1.0055762733558813</v>
      </c>
      <c r="AA10" s="150"/>
    </row>
    <row r="11" spans="1:27" s="142" customFormat="1" ht="24.75" customHeight="1">
      <c r="A11" s="270">
        <v>1</v>
      </c>
      <c r="B11" s="271" t="s">
        <v>342</v>
      </c>
      <c r="C11" s="272">
        <f>SUM(D11:H11)</f>
        <v>97385</v>
      </c>
      <c r="D11" s="273">
        <f>10100+1700+2800</f>
        <v>14600</v>
      </c>
      <c r="E11" s="274">
        <v>82785</v>
      </c>
      <c r="F11" s="273"/>
      <c r="G11" s="273"/>
      <c r="H11" s="273"/>
      <c r="I11" s="272">
        <f aca="true" t="shared" si="3" ref="I11:I72">SUM(J11:M11,N11,Q11)</f>
        <v>97423.47096800001</v>
      </c>
      <c r="J11" s="272">
        <f>9448.460039+1700+2466.846</f>
        <v>13615.306039</v>
      </c>
      <c r="K11" s="272">
        <f>79926+3855.051068</f>
        <v>83781.051068</v>
      </c>
      <c r="L11" s="272"/>
      <c r="M11" s="272"/>
      <c r="N11" s="272">
        <f>SUM(O11:P11)</f>
        <v>0</v>
      </c>
      <c r="O11" s="272"/>
      <c r="P11" s="272"/>
      <c r="Q11" s="272">
        <f>SUM(R11:T11)</f>
        <v>27.113861</v>
      </c>
      <c r="R11" s="275"/>
      <c r="S11" s="275"/>
      <c r="T11" s="275">
        <v>27.113861</v>
      </c>
      <c r="U11" s="276">
        <f aca="true" t="shared" si="4" ref="U11:W12">I11/C11</f>
        <v>1.0003950399753556</v>
      </c>
      <c r="V11" s="276">
        <f t="shared" si="4"/>
        <v>0.9325552081506848</v>
      </c>
      <c r="W11" s="276">
        <f t="shared" si="4"/>
        <v>1.0120317819411728</v>
      </c>
      <c r="X11" s="277"/>
      <c r="Y11" s="277"/>
      <c r="Z11" s="278"/>
      <c r="AA11" s="151"/>
    </row>
    <row r="12" spans="1:27" s="78" customFormat="1" ht="24.75" customHeight="1">
      <c r="A12" s="270">
        <v>2</v>
      </c>
      <c r="B12" s="282" t="s">
        <v>373</v>
      </c>
      <c r="C12" s="272">
        <f aca="true" t="shared" si="5" ref="C12:C75">SUM(D12:H12)</f>
        <v>34093</v>
      </c>
      <c r="D12" s="274">
        <v>12000</v>
      </c>
      <c r="E12" s="274">
        <v>22093</v>
      </c>
      <c r="F12" s="274"/>
      <c r="G12" s="274"/>
      <c r="H12" s="274"/>
      <c r="I12" s="272">
        <f t="shared" si="3"/>
        <v>44027.31551099999</v>
      </c>
      <c r="J12" s="279">
        <v>11001.684174</v>
      </c>
      <c r="K12" s="279">
        <f>24439.449609</f>
        <v>24439.449609</v>
      </c>
      <c r="L12" s="279"/>
      <c r="M12" s="279"/>
      <c r="N12" s="272">
        <f aca="true" t="shared" si="6" ref="N12:N89">SUM(O12:P12)</f>
        <v>0</v>
      </c>
      <c r="O12" s="279"/>
      <c r="P12" s="279"/>
      <c r="Q12" s="272">
        <f>SUM(R12:T12)</f>
        <v>8586.181728</v>
      </c>
      <c r="R12" s="280"/>
      <c r="S12" s="280"/>
      <c r="T12" s="280">
        <f>6985.077366+1601.104362</f>
        <v>8586.181728</v>
      </c>
      <c r="U12" s="276">
        <f t="shared" si="4"/>
        <v>1.2913887164813889</v>
      </c>
      <c r="V12" s="276">
        <f t="shared" si="4"/>
        <v>0.9168070145</v>
      </c>
      <c r="W12" s="276">
        <f t="shared" si="4"/>
        <v>1.1062078309419272</v>
      </c>
      <c r="X12" s="281"/>
      <c r="Y12" s="281"/>
      <c r="Z12" s="278"/>
      <c r="AA12" s="152"/>
    </row>
    <row r="13" spans="1:27" s="78" customFormat="1" ht="24.75" customHeight="1">
      <c r="A13" s="270">
        <v>3</v>
      </c>
      <c r="B13" s="282" t="s">
        <v>251</v>
      </c>
      <c r="C13" s="272">
        <f t="shared" si="5"/>
        <v>500</v>
      </c>
      <c r="D13" s="274"/>
      <c r="E13" s="274">
        <v>500</v>
      </c>
      <c r="F13" s="274"/>
      <c r="G13" s="274"/>
      <c r="H13" s="274"/>
      <c r="I13" s="272">
        <f t="shared" si="3"/>
        <v>698.491</v>
      </c>
      <c r="J13" s="279"/>
      <c r="K13" s="279">
        <v>500</v>
      </c>
      <c r="L13" s="279"/>
      <c r="M13" s="279"/>
      <c r="N13" s="272">
        <f t="shared" si="6"/>
        <v>0</v>
      </c>
      <c r="O13" s="279"/>
      <c r="P13" s="279"/>
      <c r="Q13" s="272">
        <f aca="true" t="shared" si="7" ref="Q13:Q74">SUM(R13:T13)</f>
        <v>198.491</v>
      </c>
      <c r="R13" s="280"/>
      <c r="S13" s="280"/>
      <c r="T13" s="280">
        <v>198.491</v>
      </c>
      <c r="U13" s="276">
        <f aca="true" t="shared" si="8" ref="U13:U47">I13/C13</f>
        <v>1.396982</v>
      </c>
      <c r="V13" s="276"/>
      <c r="W13" s="276">
        <f aca="true" t="shared" si="9" ref="W13:W42">K13/E13</f>
        <v>1</v>
      </c>
      <c r="X13" s="281"/>
      <c r="Y13" s="281"/>
      <c r="Z13" s="278"/>
      <c r="AA13" s="152"/>
    </row>
    <row r="14" spans="1:27" s="78" customFormat="1" ht="24.75" customHeight="1">
      <c r="A14" s="270">
        <v>4</v>
      </c>
      <c r="B14" s="282" t="s">
        <v>364</v>
      </c>
      <c r="C14" s="272">
        <f t="shared" si="5"/>
        <v>20455</v>
      </c>
      <c r="D14" s="274">
        <v>6600</v>
      </c>
      <c r="E14" s="274">
        <v>13855</v>
      </c>
      <c r="F14" s="274"/>
      <c r="G14" s="274"/>
      <c r="H14" s="274"/>
      <c r="I14" s="272">
        <f t="shared" si="3"/>
        <v>19734.444275</v>
      </c>
      <c r="J14" s="279">
        <v>6401.509</v>
      </c>
      <c r="K14" s="279">
        <f>13332.935275</f>
        <v>13332.935275</v>
      </c>
      <c r="L14" s="279"/>
      <c r="M14" s="279"/>
      <c r="N14" s="272">
        <f t="shared" si="6"/>
        <v>0</v>
      </c>
      <c r="O14" s="279"/>
      <c r="P14" s="279"/>
      <c r="Q14" s="272">
        <f t="shared" si="7"/>
        <v>0</v>
      </c>
      <c r="R14" s="280"/>
      <c r="S14" s="280"/>
      <c r="T14" s="280"/>
      <c r="U14" s="276">
        <f t="shared" si="8"/>
        <v>0.9647736140307994</v>
      </c>
      <c r="V14" s="276">
        <f>J14/D14</f>
        <v>0.9699256060606061</v>
      </c>
      <c r="W14" s="276">
        <f t="shared" si="9"/>
        <v>0.9623193991338866</v>
      </c>
      <c r="X14" s="281"/>
      <c r="Y14" s="281"/>
      <c r="Z14" s="278"/>
      <c r="AA14" s="152"/>
    </row>
    <row r="15" spans="1:27" s="78" customFormat="1" ht="24.75" customHeight="1">
      <c r="A15" s="270">
        <v>5</v>
      </c>
      <c r="B15" s="282" t="s">
        <v>5</v>
      </c>
      <c r="C15" s="272">
        <f t="shared" si="5"/>
        <v>61563</v>
      </c>
      <c r="D15" s="274"/>
      <c r="E15" s="274">
        <v>61563</v>
      </c>
      <c r="F15" s="274"/>
      <c r="G15" s="274"/>
      <c r="H15" s="274"/>
      <c r="I15" s="272">
        <f t="shared" si="3"/>
        <v>69901.7726</v>
      </c>
      <c r="J15" s="279"/>
      <c r="K15" s="279">
        <f>8792.6782+56937.0944+2372</f>
        <v>68101.7726</v>
      </c>
      <c r="L15" s="279"/>
      <c r="M15" s="279"/>
      <c r="N15" s="272">
        <f t="shared" si="6"/>
        <v>0</v>
      </c>
      <c r="O15" s="279"/>
      <c r="P15" s="279"/>
      <c r="Q15" s="272">
        <f t="shared" si="7"/>
        <v>1800</v>
      </c>
      <c r="R15" s="280">
        <v>1800</v>
      </c>
      <c r="S15" s="280"/>
      <c r="T15" s="280"/>
      <c r="U15" s="276">
        <f t="shared" si="8"/>
        <v>1.1354510436463459</v>
      </c>
      <c r="V15" s="276"/>
      <c r="W15" s="276">
        <f t="shared" si="9"/>
        <v>1.106212702434904</v>
      </c>
      <c r="X15" s="281"/>
      <c r="Y15" s="281"/>
      <c r="Z15" s="278"/>
      <c r="AA15" s="152"/>
    </row>
    <row r="16" spans="1:27" s="143" customFormat="1" ht="24.75" customHeight="1">
      <c r="A16" s="270">
        <v>6</v>
      </c>
      <c r="B16" s="282" t="s">
        <v>75</v>
      </c>
      <c r="C16" s="272">
        <f t="shared" si="5"/>
        <v>45180</v>
      </c>
      <c r="D16" s="274">
        <v>25600</v>
      </c>
      <c r="E16" s="274">
        <v>19580</v>
      </c>
      <c r="F16" s="274"/>
      <c r="G16" s="274"/>
      <c r="H16" s="274"/>
      <c r="I16" s="272">
        <f t="shared" si="3"/>
        <v>41435.995108999996</v>
      </c>
      <c r="J16" s="279">
        <f>21346.45421</f>
        <v>21346.45421</v>
      </c>
      <c r="K16" s="279">
        <f>592.967213+19407.254008</f>
        <v>20000.221221</v>
      </c>
      <c r="L16" s="279"/>
      <c r="M16" s="279"/>
      <c r="N16" s="272">
        <f t="shared" si="6"/>
        <v>0</v>
      </c>
      <c r="O16" s="279"/>
      <c r="P16" s="279"/>
      <c r="Q16" s="272">
        <f t="shared" si="7"/>
        <v>89.319678</v>
      </c>
      <c r="R16" s="280">
        <v>89.319678</v>
      </c>
      <c r="S16" s="280"/>
      <c r="T16" s="280"/>
      <c r="U16" s="276">
        <f t="shared" si="8"/>
        <v>0.9171313658477201</v>
      </c>
      <c r="V16" s="276">
        <f>J16/D16</f>
        <v>0.833845867578125</v>
      </c>
      <c r="W16" s="276">
        <f t="shared" si="9"/>
        <v>1.0214617579673135</v>
      </c>
      <c r="X16" s="281"/>
      <c r="Y16" s="281"/>
      <c r="Z16" s="278"/>
      <c r="AA16" s="153"/>
    </row>
    <row r="17" spans="1:27" s="78" customFormat="1" ht="24.75" customHeight="1">
      <c r="A17" s="270">
        <v>7</v>
      </c>
      <c r="B17" s="282" t="s">
        <v>126</v>
      </c>
      <c r="C17" s="272">
        <f t="shared" si="5"/>
        <v>16345</v>
      </c>
      <c r="D17" s="274">
        <v>7500</v>
      </c>
      <c r="E17" s="274">
        <v>8845</v>
      </c>
      <c r="F17" s="274"/>
      <c r="G17" s="274"/>
      <c r="H17" s="274"/>
      <c r="I17" s="272">
        <f t="shared" si="3"/>
        <v>21198.925234000002</v>
      </c>
      <c r="J17" s="279">
        <v>7600.00078</v>
      </c>
      <c r="K17" s="279">
        <f>12837.206454+276</f>
        <v>13113.206454</v>
      </c>
      <c r="L17" s="279"/>
      <c r="M17" s="279"/>
      <c r="N17" s="272">
        <f t="shared" si="6"/>
        <v>0</v>
      </c>
      <c r="O17" s="279"/>
      <c r="P17" s="279"/>
      <c r="Q17" s="272">
        <f t="shared" si="7"/>
        <v>485.718</v>
      </c>
      <c r="R17" s="280">
        <v>485.718</v>
      </c>
      <c r="S17" s="280"/>
      <c r="T17" s="280"/>
      <c r="U17" s="276">
        <f t="shared" si="8"/>
        <v>1.2969669766901195</v>
      </c>
      <c r="V17" s="276">
        <f>J17/D17</f>
        <v>1.0133334373333334</v>
      </c>
      <c r="W17" s="276">
        <f t="shared" si="9"/>
        <v>1.4825558455624646</v>
      </c>
      <c r="X17" s="281"/>
      <c r="Y17" s="281"/>
      <c r="Z17" s="278"/>
      <c r="AA17" s="152"/>
    </row>
    <row r="18" spans="1:27" s="78" customFormat="1" ht="24.75" customHeight="1">
      <c r="A18" s="270">
        <v>8</v>
      </c>
      <c r="B18" s="282" t="s">
        <v>80</v>
      </c>
      <c r="C18" s="272">
        <f t="shared" si="5"/>
        <v>48528</v>
      </c>
      <c r="D18" s="274">
        <v>16000</v>
      </c>
      <c r="E18" s="274">
        <f>32528-950</f>
        <v>31578</v>
      </c>
      <c r="F18" s="274"/>
      <c r="G18" s="274"/>
      <c r="H18" s="274">
        <v>950</v>
      </c>
      <c r="I18" s="272">
        <f t="shared" si="3"/>
        <v>47737.085391</v>
      </c>
      <c r="J18" s="279">
        <v>16000</v>
      </c>
      <c r="K18" s="279">
        <f>735.588+27415.694831+2000</f>
        <v>30151.282831</v>
      </c>
      <c r="L18" s="279"/>
      <c r="M18" s="279"/>
      <c r="N18" s="272">
        <f t="shared" si="6"/>
        <v>950</v>
      </c>
      <c r="O18" s="279"/>
      <c r="P18" s="279">
        <v>950</v>
      </c>
      <c r="Q18" s="272">
        <f t="shared" si="7"/>
        <v>635.80256</v>
      </c>
      <c r="R18" s="280">
        <v>635.80256</v>
      </c>
      <c r="S18" s="280"/>
      <c r="T18" s="280"/>
      <c r="U18" s="276">
        <f t="shared" si="8"/>
        <v>0.9837018915059347</v>
      </c>
      <c r="V18" s="276">
        <f>J18/D18</f>
        <v>1</v>
      </c>
      <c r="W18" s="276">
        <f t="shared" si="9"/>
        <v>0.9548192675596935</v>
      </c>
      <c r="X18" s="281"/>
      <c r="Y18" s="281"/>
      <c r="Z18" s="278">
        <f>N18/H18</f>
        <v>1</v>
      </c>
      <c r="AA18" s="152"/>
    </row>
    <row r="19" spans="1:32" s="78" customFormat="1" ht="24.75" customHeight="1">
      <c r="A19" s="270">
        <v>9</v>
      </c>
      <c r="B19" s="282" t="s">
        <v>73</v>
      </c>
      <c r="C19" s="272">
        <f t="shared" si="5"/>
        <v>5407</v>
      </c>
      <c r="D19" s="274"/>
      <c r="E19" s="274">
        <v>5407</v>
      </c>
      <c r="F19" s="274"/>
      <c r="G19" s="274"/>
      <c r="H19" s="274"/>
      <c r="I19" s="272">
        <f t="shared" si="3"/>
        <v>24825.914</v>
      </c>
      <c r="J19" s="279">
        <v>327.123</v>
      </c>
      <c r="K19" s="279">
        <f>16845.172+298+4570.522</f>
        <v>21713.694</v>
      </c>
      <c r="L19" s="279"/>
      <c r="M19" s="279"/>
      <c r="N19" s="272">
        <f t="shared" si="6"/>
        <v>0</v>
      </c>
      <c r="O19" s="279"/>
      <c r="P19" s="279"/>
      <c r="Q19" s="272">
        <f t="shared" si="7"/>
        <v>2785.097</v>
      </c>
      <c r="R19" s="280">
        <v>120</v>
      </c>
      <c r="S19" s="280"/>
      <c r="T19" s="280">
        <v>2665.097</v>
      </c>
      <c r="U19" s="276">
        <f t="shared" si="8"/>
        <v>4.591439615313482</v>
      </c>
      <c r="V19" s="276"/>
      <c r="W19" s="276">
        <f t="shared" si="9"/>
        <v>4.015848714629184</v>
      </c>
      <c r="X19" s="281"/>
      <c r="Y19" s="281"/>
      <c r="Z19" s="278"/>
      <c r="AA19" s="152"/>
      <c r="AB19" s="78" t="s">
        <v>258</v>
      </c>
      <c r="AF19" s="144">
        <f>20000+298</f>
        <v>20298</v>
      </c>
    </row>
    <row r="20" spans="1:27" s="78" customFormat="1" ht="24.75" customHeight="1">
      <c r="A20" s="270">
        <v>10</v>
      </c>
      <c r="B20" s="282" t="s">
        <v>370</v>
      </c>
      <c r="C20" s="272">
        <f t="shared" si="5"/>
        <v>8251</v>
      </c>
      <c r="D20" s="274"/>
      <c r="E20" s="274">
        <v>8251</v>
      </c>
      <c r="F20" s="274"/>
      <c r="G20" s="274"/>
      <c r="H20" s="274"/>
      <c r="I20" s="272">
        <f t="shared" si="3"/>
        <v>9816.416823</v>
      </c>
      <c r="J20" s="279"/>
      <c r="K20" s="279">
        <f>699.991+8769.1088</f>
        <v>9469.0998</v>
      </c>
      <c r="L20" s="279"/>
      <c r="M20" s="279"/>
      <c r="N20" s="272">
        <f t="shared" si="6"/>
        <v>0</v>
      </c>
      <c r="O20" s="279"/>
      <c r="P20" s="279"/>
      <c r="Q20" s="272">
        <f t="shared" si="7"/>
        <v>347.317023</v>
      </c>
      <c r="R20" s="280">
        <v>347.317023</v>
      </c>
      <c r="S20" s="280"/>
      <c r="T20" s="280"/>
      <c r="U20" s="276">
        <f t="shared" si="8"/>
        <v>1.189724496788268</v>
      </c>
      <c r="V20" s="276"/>
      <c r="W20" s="276">
        <f t="shared" si="9"/>
        <v>1.147630565992001</v>
      </c>
      <c r="X20" s="281"/>
      <c r="Y20" s="281"/>
      <c r="Z20" s="278"/>
      <c r="AA20" s="152"/>
    </row>
    <row r="21" spans="1:27" s="78" customFormat="1" ht="24.75" customHeight="1">
      <c r="A21" s="270">
        <v>11</v>
      </c>
      <c r="B21" s="282" t="s">
        <v>77</v>
      </c>
      <c r="C21" s="272">
        <f t="shared" si="5"/>
        <v>7872</v>
      </c>
      <c r="D21" s="274"/>
      <c r="E21" s="274">
        <v>7872</v>
      </c>
      <c r="F21" s="274"/>
      <c r="G21" s="274"/>
      <c r="H21" s="274"/>
      <c r="I21" s="272">
        <f t="shared" si="3"/>
        <v>13087.873</v>
      </c>
      <c r="J21" s="279"/>
      <c r="K21" s="279">
        <f>1257.112+340.95+8643.811</f>
        <v>10241.873</v>
      </c>
      <c r="L21" s="279"/>
      <c r="M21" s="279"/>
      <c r="N21" s="272">
        <f t="shared" si="6"/>
        <v>0</v>
      </c>
      <c r="O21" s="279"/>
      <c r="P21" s="279"/>
      <c r="Q21" s="272">
        <f t="shared" si="7"/>
        <v>2846</v>
      </c>
      <c r="R21" s="280"/>
      <c r="S21" s="280">
        <v>1620</v>
      </c>
      <c r="T21" s="280">
        <v>1226</v>
      </c>
      <c r="U21" s="276">
        <f t="shared" si="8"/>
        <v>1.6625854928861787</v>
      </c>
      <c r="V21" s="276"/>
      <c r="W21" s="276">
        <f t="shared" si="9"/>
        <v>1.3010509400406503</v>
      </c>
      <c r="X21" s="281"/>
      <c r="Y21" s="281"/>
      <c r="Z21" s="278"/>
      <c r="AA21" s="152"/>
    </row>
    <row r="22" spans="1:27" s="78" customFormat="1" ht="24.75" customHeight="1">
      <c r="A22" s="270">
        <v>12</v>
      </c>
      <c r="B22" s="282" t="s">
        <v>74</v>
      </c>
      <c r="C22" s="272">
        <f t="shared" si="5"/>
        <v>15961</v>
      </c>
      <c r="D22" s="274"/>
      <c r="E22" s="274">
        <f>15961-50</f>
        <v>15911</v>
      </c>
      <c r="F22" s="274"/>
      <c r="G22" s="274"/>
      <c r="H22" s="274">
        <v>50</v>
      </c>
      <c r="I22" s="272">
        <f t="shared" si="3"/>
        <v>15294.735192</v>
      </c>
      <c r="J22" s="279"/>
      <c r="K22" s="279">
        <f>1999.999+11312.244192+1932.492</f>
        <v>15244.735192</v>
      </c>
      <c r="L22" s="279"/>
      <c r="M22" s="279"/>
      <c r="N22" s="272">
        <f t="shared" si="6"/>
        <v>50</v>
      </c>
      <c r="O22" s="279"/>
      <c r="P22" s="279">
        <v>50</v>
      </c>
      <c r="Q22" s="272">
        <f t="shared" si="7"/>
        <v>0</v>
      </c>
      <c r="R22" s="280"/>
      <c r="S22" s="280"/>
      <c r="T22" s="280"/>
      <c r="U22" s="276">
        <f t="shared" si="8"/>
        <v>0.958256700206754</v>
      </c>
      <c r="V22" s="276"/>
      <c r="W22" s="276">
        <f t="shared" si="9"/>
        <v>0.9581255227201307</v>
      </c>
      <c r="X22" s="281"/>
      <c r="Y22" s="281"/>
      <c r="Z22" s="278">
        <f>N22/H22</f>
        <v>1</v>
      </c>
      <c r="AA22" s="152"/>
    </row>
    <row r="23" spans="1:27" s="78" customFormat="1" ht="24.75" customHeight="1">
      <c r="A23" s="270">
        <v>13</v>
      </c>
      <c r="B23" s="282" t="s">
        <v>76</v>
      </c>
      <c r="C23" s="272">
        <f t="shared" si="5"/>
        <v>11130</v>
      </c>
      <c r="D23" s="274"/>
      <c r="E23" s="274">
        <v>11130</v>
      </c>
      <c r="F23" s="274"/>
      <c r="G23" s="274"/>
      <c r="H23" s="274"/>
      <c r="I23" s="272">
        <f t="shared" si="3"/>
        <v>11130</v>
      </c>
      <c r="J23" s="279"/>
      <c r="K23" s="279">
        <v>11130</v>
      </c>
      <c r="L23" s="279"/>
      <c r="M23" s="279"/>
      <c r="N23" s="272">
        <f t="shared" si="6"/>
        <v>0</v>
      </c>
      <c r="O23" s="279"/>
      <c r="P23" s="279"/>
      <c r="Q23" s="272">
        <f t="shared" si="7"/>
        <v>0</v>
      </c>
      <c r="R23" s="280"/>
      <c r="S23" s="280"/>
      <c r="T23" s="280"/>
      <c r="U23" s="276">
        <f t="shared" si="8"/>
        <v>1</v>
      </c>
      <c r="V23" s="276"/>
      <c r="W23" s="276">
        <f t="shared" si="9"/>
        <v>1</v>
      </c>
      <c r="X23" s="281"/>
      <c r="Y23" s="281"/>
      <c r="Z23" s="278"/>
      <c r="AA23" s="152"/>
    </row>
    <row r="24" spans="1:27" s="78" customFormat="1" ht="24.75" customHeight="1">
      <c r="A24" s="270">
        <v>14</v>
      </c>
      <c r="B24" s="282" t="s">
        <v>291</v>
      </c>
      <c r="C24" s="272">
        <f t="shared" si="5"/>
        <v>18272.645009</v>
      </c>
      <c r="D24" s="274">
        <v>5814.645009</v>
      </c>
      <c r="E24" s="274">
        <f>12458-555</f>
        <v>11903</v>
      </c>
      <c r="F24" s="274"/>
      <c r="G24" s="274"/>
      <c r="H24" s="274">
        <v>555</v>
      </c>
      <c r="I24" s="272">
        <f t="shared" si="3"/>
        <v>16853.549634000003</v>
      </c>
      <c r="J24" s="279">
        <v>3207.665815</v>
      </c>
      <c r="K24" s="279">
        <f>622.11+10389.027319+80</f>
        <v>11091.137319000001</v>
      </c>
      <c r="L24" s="279"/>
      <c r="M24" s="279"/>
      <c r="N24" s="272">
        <f t="shared" si="6"/>
        <v>554.7465</v>
      </c>
      <c r="O24" s="279"/>
      <c r="P24" s="279">
        <v>554.7465</v>
      </c>
      <c r="Q24" s="272">
        <f t="shared" si="7"/>
        <v>2000</v>
      </c>
      <c r="R24" s="280">
        <v>2000</v>
      </c>
      <c r="S24" s="280"/>
      <c r="T24" s="280"/>
      <c r="U24" s="276">
        <f t="shared" si="8"/>
        <v>0.9223377144195032</v>
      </c>
      <c r="V24" s="276">
        <f>J24/D24</f>
        <v>0.5516529057294338</v>
      </c>
      <c r="W24" s="276">
        <f t="shared" si="9"/>
        <v>0.9317934402251534</v>
      </c>
      <c r="X24" s="281"/>
      <c r="Y24" s="281"/>
      <c r="Z24" s="278">
        <f>N24/H24</f>
        <v>0.9995432432432432</v>
      </c>
      <c r="AA24" s="152"/>
    </row>
    <row r="25" spans="1:27" s="78" customFormat="1" ht="24.75" customHeight="1">
      <c r="A25" s="270">
        <v>15</v>
      </c>
      <c r="B25" s="282" t="s">
        <v>113</v>
      </c>
      <c r="C25" s="272">
        <f t="shared" si="5"/>
        <v>14387</v>
      </c>
      <c r="D25" s="274"/>
      <c r="E25" s="274">
        <v>14387</v>
      </c>
      <c r="F25" s="274"/>
      <c r="G25" s="274"/>
      <c r="H25" s="274"/>
      <c r="I25" s="272">
        <f t="shared" si="3"/>
        <v>17894.592984</v>
      </c>
      <c r="J25" s="279"/>
      <c r="K25" s="279">
        <v>13767.388534</v>
      </c>
      <c r="L25" s="279"/>
      <c r="M25" s="279"/>
      <c r="N25" s="272">
        <f t="shared" si="6"/>
        <v>0</v>
      </c>
      <c r="O25" s="279"/>
      <c r="P25" s="279"/>
      <c r="Q25" s="272">
        <f t="shared" si="7"/>
        <v>4127.20445</v>
      </c>
      <c r="R25" s="280">
        <v>4127.20445</v>
      </c>
      <c r="S25" s="280"/>
      <c r="T25" s="280"/>
      <c r="U25" s="276">
        <f t="shared" si="8"/>
        <v>1.2438029459929103</v>
      </c>
      <c r="V25" s="276"/>
      <c r="W25" s="276">
        <f t="shared" si="9"/>
        <v>0.9569325456314728</v>
      </c>
      <c r="X25" s="281"/>
      <c r="Y25" s="281"/>
      <c r="Z25" s="278"/>
      <c r="AA25" s="152"/>
    </row>
    <row r="26" spans="1:27" s="78" customFormat="1" ht="24.75" customHeight="1">
      <c r="A26" s="270">
        <v>16</v>
      </c>
      <c r="B26" s="282" t="s">
        <v>114</v>
      </c>
      <c r="C26" s="272">
        <f t="shared" si="5"/>
        <v>119511</v>
      </c>
      <c r="D26" s="274">
        <v>95982</v>
      </c>
      <c r="E26" s="274">
        <v>23529</v>
      </c>
      <c r="F26" s="274"/>
      <c r="G26" s="274"/>
      <c r="H26" s="274"/>
      <c r="I26" s="272">
        <f t="shared" si="3"/>
        <v>90039.003564</v>
      </c>
      <c r="J26" s="279">
        <v>54278.853816</v>
      </c>
      <c r="K26" s="279">
        <f>2094.105382+261.745+24646.972331+7444.864156</f>
        <v>34447.686869</v>
      </c>
      <c r="L26" s="279"/>
      <c r="M26" s="279"/>
      <c r="N26" s="272">
        <f t="shared" si="6"/>
        <v>0</v>
      </c>
      <c r="O26" s="279"/>
      <c r="P26" s="279"/>
      <c r="Q26" s="272">
        <f t="shared" si="7"/>
        <v>1312.462879</v>
      </c>
      <c r="R26" s="280">
        <v>1279.806284</v>
      </c>
      <c r="S26" s="280"/>
      <c r="T26" s="280">
        <v>32.656595</v>
      </c>
      <c r="U26" s="276">
        <f t="shared" si="8"/>
        <v>0.7533951147927805</v>
      </c>
      <c r="V26" s="276">
        <f>J26/D26</f>
        <v>0.5655107605175971</v>
      </c>
      <c r="W26" s="276">
        <f t="shared" si="9"/>
        <v>1.4640523128479748</v>
      </c>
      <c r="X26" s="281"/>
      <c r="Y26" s="281"/>
      <c r="Z26" s="278"/>
      <c r="AA26" s="152"/>
    </row>
    <row r="27" spans="1:27" s="78" customFormat="1" ht="24.75" customHeight="1">
      <c r="A27" s="270">
        <v>17</v>
      </c>
      <c r="B27" s="282" t="s">
        <v>359</v>
      </c>
      <c r="C27" s="272">
        <f t="shared" si="5"/>
        <v>459656.166607</v>
      </c>
      <c r="D27" s="274">
        <f>34391.513607+3015.653</f>
        <v>37407.166607</v>
      </c>
      <c r="E27" s="274">
        <f>422249-3000</f>
        <v>419249</v>
      </c>
      <c r="F27" s="274"/>
      <c r="G27" s="274"/>
      <c r="H27" s="274">
        <v>3000</v>
      </c>
      <c r="I27" s="272">
        <f t="shared" si="3"/>
        <v>506692.11128099996</v>
      </c>
      <c r="J27" s="279">
        <f>32934.283918+3015.653-174.106</f>
        <v>35775.830918</v>
      </c>
      <c r="K27" s="279">
        <f>9967.49+420886.886779+850.598394+225</f>
        <v>431929.97517299996</v>
      </c>
      <c r="L27" s="279"/>
      <c r="M27" s="279"/>
      <c r="N27" s="272">
        <f t="shared" si="6"/>
        <v>3166.635217</v>
      </c>
      <c r="O27" s="279">
        <v>174.106</v>
      </c>
      <c r="P27" s="279">
        <v>2992.529217</v>
      </c>
      <c r="Q27" s="272">
        <f t="shared" si="7"/>
        <v>35819.669973</v>
      </c>
      <c r="R27" s="280">
        <v>22784.706873</v>
      </c>
      <c r="S27" s="280"/>
      <c r="T27" s="280">
        <f>1534.9631+11500</f>
        <v>13034.9631</v>
      </c>
      <c r="U27" s="276">
        <f t="shared" si="8"/>
        <v>1.102328540528893</v>
      </c>
      <c r="V27" s="276">
        <f>J27/D27</f>
        <v>0.9563897553070826</v>
      </c>
      <c r="W27" s="276">
        <f t="shared" si="9"/>
        <v>1.0302468823372266</v>
      </c>
      <c r="X27" s="281"/>
      <c r="Y27" s="281"/>
      <c r="Z27" s="278">
        <f>N27/H27</f>
        <v>1.0555450723333333</v>
      </c>
      <c r="AA27" s="152"/>
    </row>
    <row r="28" spans="1:27" s="78" customFormat="1" ht="24.75" customHeight="1">
      <c r="A28" s="270">
        <v>18</v>
      </c>
      <c r="B28" s="282" t="s">
        <v>360</v>
      </c>
      <c r="C28" s="272">
        <f t="shared" si="5"/>
        <v>110605.6</v>
      </c>
      <c r="D28" s="274">
        <v>2030.6</v>
      </c>
      <c r="E28" s="274">
        <f>108575-565</f>
        <v>108010</v>
      </c>
      <c r="F28" s="274"/>
      <c r="G28" s="274"/>
      <c r="H28" s="274">
        <v>565</v>
      </c>
      <c r="I28" s="272">
        <f t="shared" si="3"/>
        <v>124877.19554799999</v>
      </c>
      <c r="J28" s="279">
        <v>2262.561471</v>
      </c>
      <c r="K28" s="279">
        <f>106199.176892+8404.501962+2180.302635+3745.863936</f>
        <v>120529.84542499999</v>
      </c>
      <c r="L28" s="279"/>
      <c r="M28" s="279"/>
      <c r="N28" s="272">
        <f t="shared" si="6"/>
        <v>1315.4096</v>
      </c>
      <c r="O28" s="279"/>
      <c r="P28" s="279">
        <v>1315.4096</v>
      </c>
      <c r="Q28" s="272">
        <f t="shared" si="7"/>
        <v>769.379052</v>
      </c>
      <c r="R28" s="280">
        <v>769.379052</v>
      </c>
      <c r="S28" s="280"/>
      <c r="T28" s="280"/>
      <c r="U28" s="276">
        <f t="shared" si="8"/>
        <v>1.129031401194876</v>
      </c>
      <c r="V28" s="276">
        <f>J28/D28</f>
        <v>1.1142329710430414</v>
      </c>
      <c r="W28" s="276">
        <f t="shared" si="9"/>
        <v>1.1159137619201924</v>
      </c>
      <c r="X28" s="281"/>
      <c r="Y28" s="281"/>
      <c r="Z28" s="278">
        <f>N28/H28</f>
        <v>2.3281585840707963</v>
      </c>
      <c r="AA28" s="152"/>
    </row>
    <row r="29" spans="1:27" s="78" customFormat="1" ht="24.75" customHeight="1">
      <c r="A29" s="270">
        <v>19</v>
      </c>
      <c r="B29" s="282" t="s">
        <v>249</v>
      </c>
      <c r="C29" s="272">
        <f t="shared" si="5"/>
        <v>33362</v>
      </c>
      <c r="D29" s="274"/>
      <c r="E29" s="274">
        <f>33362-796</f>
        <v>32566</v>
      </c>
      <c r="F29" s="274"/>
      <c r="G29" s="274"/>
      <c r="H29" s="274">
        <v>796</v>
      </c>
      <c r="I29" s="272">
        <f t="shared" si="3"/>
        <v>42397.871354999996</v>
      </c>
      <c r="J29" s="279"/>
      <c r="K29" s="279">
        <f>1989.501+30775.092093+149.18+4547.0119</f>
        <v>37460.784992999994</v>
      </c>
      <c r="L29" s="279"/>
      <c r="M29" s="279"/>
      <c r="N29" s="272">
        <f t="shared" si="6"/>
        <v>796</v>
      </c>
      <c r="O29" s="279"/>
      <c r="P29" s="279">
        <v>796</v>
      </c>
      <c r="Q29" s="272">
        <f t="shared" si="7"/>
        <v>4141.086362</v>
      </c>
      <c r="R29" s="280">
        <v>2141.086362</v>
      </c>
      <c r="S29" s="280"/>
      <c r="T29" s="280">
        <v>2000</v>
      </c>
      <c r="U29" s="276">
        <f t="shared" si="8"/>
        <v>1.2708432154846832</v>
      </c>
      <c r="V29" s="276"/>
      <c r="W29" s="276">
        <f t="shared" si="9"/>
        <v>1.150303537216729</v>
      </c>
      <c r="X29" s="281"/>
      <c r="Y29" s="281"/>
      <c r="Z29" s="278">
        <f>N29/H29</f>
        <v>1</v>
      </c>
      <c r="AA29" s="152"/>
    </row>
    <row r="30" spans="1:27" s="78" customFormat="1" ht="24.75" customHeight="1">
      <c r="A30" s="270">
        <v>20</v>
      </c>
      <c r="B30" s="282" t="s">
        <v>78</v>
      </c>
      <c r="C30" s="272">
        <f t="shared" si="5"/>
        <v>425417.8954</v>
      </c>
      <c r="D30" s="274">
        <v>45394.8954</v>
      </c>
      <c r="E30" s="274">
        <v>380023</v>
      </c>
      <c r="F30" s="274"/>
      <c r="G30" s="274"/>
      <c r="H30" s="274"/>
      <c r="I30" s="272">
        <f t="shared" si="3"/>
        <v>560789.837206</v>
      </c>
      <c r="J30" s="279">
        <v>42570.823674</v>
      </c>
      <c r="K30" s="279">
        <f>15494.3637+344642.294416+40491.384008+26272.946395</f>
        <v>426900.988519</v>
      </c>
      <c r="L30" s="279"/>
      <c r="M30" s="279"/>
      <c r="N30" s="272">
        <f t="shared" si="6"/>
        <v>0</v>
      </c>
      <c r="O30" s="279"/>
      <c r="P30" s="279"/>
      <c r="Q30" s="272">
        <f t="shared" si="7"/>
        <v>91318.02501299999</v>
      </c>
      <c r="R30" s="280">
        <v>20313.268713</v>
      </c>
      <c r="S30" s="280"/>
      <c r="T30" s="280">
        <v>71004.7563</v>
      </c>
      <c r="U30" s="276">
        <f t="shared" si="8"/>
        <v>1.3182093260997314</v>
      </c>
      <c r="V30" s="276">
        <f>J30/D30</f>
        <v>0.9377887821721911</v>
      </c>
      <c r="W30" s="276">
        <f t="shared" si="9"/>
        <v>1.1233556614178615</v>
      </c>
      <c r="X30" s="281"/>
      <c r="Y30" s="281"/>
      <c r="Z30" s="278"/>
      <c r="AA30" s="152"/>
    </row>
    <row r="31" spans="1:27" s="78" customFormat="1" ht="24.75" customHeight="1">
      <c r="A31" s="270">
        <v>21</v>
      </c>
      <c r="B31" s="282" t="s">
        <v>366</v>
      </c>
      <c r="C31" s="272">
        <f t="shared" si="5"/>
        <v>26933</v>
      </c>
      <c r="D31" s="274">
        <v>2500</v>
      </c>
      <c r="E31" s="274">
        <v>24433</v>
      </c>
      <c r="F31" s="274"/>
      <c r="G31" s="274"/>
      <c r="H31" s="274"/>
      <c r="I31" s="272">
        <f t="shared" si="3"/>
        <v>27798</v>
      </c>
      <c r="J31" s="279">
        <v>2545</v>
      </c>
      <c r="K31" s="279">
        <v>25253</v>
      </c>
      <c r="L31" s="279"/>
      <c r="M31" s="279"/>
      <c r="N31" s="272">
        <f t="shared" si="6"/>
        <v>0</v>
      </c>
      <c r="O31" s="279"/>
      <c r="P31" s="279"/>
      <c r="Q31" s="272">
        <f t="shared" si="7"/>
        <v>0</v>
      </c>
      <c r="R31" s="280"/>
      <c r="S31" s="280"/>
      <c r="T31" s="280"/>
      <c r="U31" s="276">
        <f t="shared" si="8"/>
        <v>1.0321167341179964</v>
      </c>
      <c r="V31" s="276">
        <f>J31/D31</f>
        <v>1.018</v>
      </c>
      <c r="W31" s="276">
        <f t="shared" si="9"/>
        <v>1.033561167273769</v>
      </c>
      <c r="X31" s="281"/>
      <c r="Y31" s="281"/>
      <c r="Z31" s="278"/>
      <c r="AA31" s="152"/>
    </row>
    <row r="32" spans="1:27" s="78" customFormat="1" ht="24.75" customHeight="1">
      <c r="A32" s="270">
        <v>22</v>
      </c>
      <c r="B32" s="282" t="s">
        <v>358</v>
      </c>
      <c r="C32" s="272">
        <f t="shared" si="5"/>
        <v>27024</v>
      </c>
      <c r="D32" s="274">
        <v>14205</v>
      </c>
      <c r="E32" s="274">
        <f>12819-6389</f>
        <v>6430</v>
      </c>
      <c r="F32" s="274"/>
      <c r="G32" s="274"/>
      <c r="H32" s="274">
        <v>6389</v>
      </c>
      <c r="I32" s="272">
        <f t="shared" si="3"/>
        <v>28070.992000000002</v>
      </c>
      <c r="J32" s="279">
        <v>11330.876</v>
      </c>
      <c r="K32" s="279">
        <f>895.798+4888.899+630</f>
        <v>6414.697</v>
      </c>
      <c r="L32" s="279"/>
      <c r="M32" s="279"/>
      <c r="N32" s="272">
        <f t="shared" si="6"/>
        <v>6346.401</v>
      </c>
      <c r="O32" s="279"/>
      <c r="P32" s="279">
        <v>6346.401</v>
      </c>
      <c r="Q32" s="272">
        <f t="shared" si="7"/>
        <v>3979.018</v>
      </c>
      <c r="R32" s="280">
        <v>3002</v>
      </c>
      <c r="S32" s="280"/>
      <c r="T32" s="280">
        <v>977.018</v>
      </c>
      <c r="U32" s="276">
        <f t="shared" si="8"/>
        <v>1.0387430432208409</v>
      </c>
      <c r="V32" s="276">
        <f>J32/D32</f>
        <v>0.7976681450193593</v>
      </c>
      <c r="W32" s="276">
        <f t="shared" si="9"/>
        <v>0.9976200622083982</v>
      </c>
      <c r="X32" s="281"/>
      <c r="Y32" s="281"/>
      <c r="Z32" s="278">
        <f>N32/H32</f>
        <v>0.9933324463922366</v>
      </c>
      <c r="AA32" s="152"/>
    </row>
    <row r="33" spans="1:27" s="78" customFormat="1" ht="24.75" customHeight="1">
      <c r="A33" s="270">
        <v>23</v>
      </c>
      <c r="B33" s="282" t="s">
        <v>341</v>
      </c>
      <c r="C33" s="272">
        <f t="shared" si="5"/>
        <v>8977</v>
      </c>
      <c r="D33" s="274"/>
      <c r="E33" s="274">
        <v>8977</v>
      </c>
      <c r="F33" s="274"/>
      <c r="G33" s="274"/>
      <c r="H33" s="274"/>
      <c r="I33" s="272">
        <f t="shared" si="3"/>
        <v>9754.948246</v>
      </c>
      <c r="J33" s="279"/>
      <c r="K33" s="279">
        <f>3828.542+5926.406246</f>
        <v>9754.948246</v>
      </c>
      <c r="L33" s="279"/>
      <c r="M33" s="279"/>
      <c r="N33" s="272">
        <f t="shared" si="6"/>
        <v>0</v>
      </c>
      <c r="O33" s="279"/>
      <c r="P33" s="279"/>
      <c r="Q33" s="272">
        <f t="shared" si="7"/>
        <v>0</v>
      </c>
      <c r="R33" s="280"/>
      <c r="S33" s="280"/>
      <c r="T33" s="280"/>
      <c r="U33" s="276">
        <f t="shared" si="8"/>
        <v>1.0866601588503955</v>
      </c>
      <c r="V33" s="276"/>
      <c r="W33" s="276">
        <f t="shared" si="9"/>
        <v>1.0866601588503955</v>
      </c>
      <c r="X33" s="281"/>
      <c r="Y33" s="281"/>
      <c r="Z33" s="278"/>
      <c r="AA33" s="152"/>
    </row>
    <row r="34" spans="1:27" s="78" customFormat="1" ht="24.75" customHeight="1">
      <c r="A34" s="270">
        <v>24</v>
      </c>
      <c r="B34" s="282" t="s">
        <v>365</v>
      </c>
      <c r="C34" s="272">
        <f t="shared" si="5"/>
        <v>30609</v>
      </c>
      <c r="D34" s="274">
        <v>6500</v>
      </c>
      <c r="E34" s="274">
        <v>24109</v>
      </c>
      <c r="F34" s="274"/>
      <c r="G34" s="274"/>
      <c r="H34" s="274"/>
      <c r="I34" s="272">
        <f t="shared" si="3"/>
        <v>33254.792302</v>
      </c>
      <c r="J34" s="279">
        <v>6500</v>
      </c>
      <c r="K34" s="279">
        <f>874.971+25858.91722</f>
        <v>26733.88822</v>
      </c>
      <c r="L34" s="279"/>
      <c r="M34" s="279"/>
      <c r="N34" s="272">
        <f t="shared" si="6"/>
        <v>0</v>
      </c>
      <c r="O34" s="279"/>
      <c r="P34" s="279"/>
      <c r="Q34" s="272">
        <f t="shared" si="7"/>
        <v>20.904082</v>
      </c>
      <c r="R34" s="280">
        <v>20.904082</v>
      </c>
      <c r="S34" s="280"/>
      <c r="T34" s="280"/>
      <c r="U34" s="276">
        <f t="shared" si="8"/>
        <v>1.0864383776666995</v>
      </c>
      <c r="V34" s="276">
        <f>J34/D34</f>
        <v>1</v>
      </c>
      <c r="W34" s="276">
        <f t="shared" si="9"/>
        <v>1.1088758646148742</v>
      </c>
      <c r="X34" s="281"/>
      <c r="Y34" s="281"/>
      <c r="Z34" s="278"/>
      <c r="AA34" s="152"/>
    </row>
    <row r="35" spans="1:27" s="78" customFormat="1" ht="24.75" customHeight="1">
      <c r="A35" s="270">
        <v>25</v>
      </c>
      <c r="B35" s="282" t="s">
        <v>2</v>
      </c>
      <c r="C35" s="272">
        <f t="shared" si="5"/>
        <v>19682</v>
      </c>
      <c r="D35" s="274"/>
      <c r="E35" s="274">
        <v>19682</v>
      </c>
      <c r="F35" s="274"/>
      <c r="G35" s="274"/>
      <c r="H35" s="274"/>
      <c r="I35" s="272">
        <f t="shared" si="3"/>
        <v>25709.4973</v>
      </c>
      <c r="J35" s="279"/>
      <c r="K35" s="279">
        <f>477.876+19231.6213+6000</f>
        <v>25709.4973</v>
      </c>
      <c r="L35" s="279"/>
      <c r="M35" s="279"/>
      <c r="N35" s="272">
        <f t="shared" si="6"/>
        <v>0</v>
      </c>
      <c r="O35" s="279"/>
      <c r="P35" s="279"/>
      <c r="Q35" s="272">
        <f t="shared" si="7"/>
        <v>0</v>
      </c>
      <c r="R35" s="280"/>
      <c r="S35" s="280"/>
      <c r="T35" s="280"/>
      <c r="U35" s="276">
        <f t="shared" si="8"/>
        <v>1.3062441469362869</v>
      </c>
      <c r="V35" s="276"/>
      <c r="W35" s="276">
        <f t="shared" si="9"/>
        <v>1.3062441469362869</v>
      </c>
      <c r="X35" s="281"/>
      <c r="Y35" s="281"/>
      <c r="Z35" s="278"/>
      <c r="AA35" s="152"/>
    </row>
    <row r="36" spans="1:27" s="78" customFormat="1" ht="24.75" customHeight="1">
      <c r="A36" s="270">
        <v>26</v>
      </c>
      <c r="B36" s="282" t="s">
        <v>368</v>
      </c>
      <c r="C36" s="272">
        <f t="shared" si="5"/>
        <v>13618</v>
      </c>
      <c r="D36" s="274">
        <v>4000</v>
      </c>
      <c r="E36" s="274">
        <v>9618</v>
      </c>
      <c r="F36" s="274"/>
      <c r="G36" s="274"/>
      <c r="H36" s="274"/>
      <c r="I36" s="272">
        <f t="shared" si="3"/>
        <v>14536.92587</v>
      </c>
      <c r="J36" s="279">
        <v>4000</v>
      </c>
      <c r="K36" s="279">
        <f>1480.96597+8484.655981</f>
        <v>9965.621951</v>
      </c>
      <c r="L36" s="279"/>
      <c r="M36" s="279"/>
      <c r="N36" s="272">
        <f t="shared" si="6"/>
        <v>0</v>
      </c>
      <c r="O36" s="279"/>
      <c r="P36" s="279"/>
      <c r="Q36" s="272">
        <f t="shared" si="7"/>
        <v>571.303919</v>
      </c>
      <c r="R36" s="280">
        <v>571.303919</v>
      </c>
      <c r="S36" s="280"/>
      <c r="T36" s="280"/>
      <c r="U36" s="276">
        <f t="shared" si="8"/>
        <v>1.067478768541636</v>
      </c>
      <c r="V36" s="276">
        <f>J36/D36</f>
        <v>1</v>
      </c>
      <c r="W36" s="276">
        <f t="shared" si="9"/>
        <v>1.0361428520482427</v>
      </c>
      <c r="X36" s="281"/>
      <c r="Y36" s="281"/>
      <c r="Z36" s="278"/>
      <c r="AA36" s="152"/>
    </row>
    <row r="37" spans="1:27" s="78" customFormat="1" ht="24.75" customHeight="1">
      <c r="A37" s="270">
        <v>27</v>
      </c>
      <c r="B37" s="282" t="s">
        <v>289</v>
      </c>
      <c r="C37" s="272">
        <f t="shared" si="5"/>
        <v>1131</v>
      </c>
      <c r="D37" s="274"/>
      <c r="E37" s="274">
        <v>1131</v>
      </c>
      <c r="F37" s="274"/>
      <c r="G37" s="274"/>
      <c r="H37" s="274"/>
      <c r="I37" s="272">
        <f t="shared" si="3"/>
        <v>1131</v>
      </c>
      <c r="J37" s="279"/>
      <c r="K37" s="279">
        <f>851+280</f>
        <v>1131</v>
      </c>
      <c r="L37" s="279"/>
      <c r="M37" s="279"/>
      <c r="N37" s="272">
        <f t="shared" si="6"/>
        <v>0</v>
      </c>
      <c r="O37" s="279"/>
      <c r="P37" s="279"/>
      <c r="Q37" s="272">
        <f t="shared" si="7"/>
        <v>0</v>
      </c>
      <c r="R37" s="280"/>
      <c r="S37" s="280"/>
      <c r="T37" s="280"/>
      <c r="U37" s="276">
        <f t="shared" si="8"/>
        <v>1</v>
      </c>
      <c r="V37" s="276"/>
      <c r="W37" s="276">
        <f t="shared" si="9"/>
        <v>1</v>
      </c>
      <c r="X37" s="281"/>
      <c r="Y37" s="281"/>
      <c r="Z37" s="278"/>
      <c r="AA37" s="152"/>
    </row>
    <row r="38" spans="1:27" s="78" customFormat="1" ht="24.75" customHeight="1">
      <c r="A38" s="270">
        <v>28</v>
      </c>
      <c r="B38" s="282" t="s">
        <v>300</v>
      </c>
      <c r="C38" s="272">
        <f t="shared" si="5"/>
        <v>4611</v>
      </c>
      <c r="D38" s="274"/>
      <c r="E38" s="274">
        <f>4611-50</f>
        <v>4561</v>
      </c>
      <c r="F38" s="274"/>
      <c r="G38" s="274"/>
      <c r="H38" s="274">
        <v>50</v>
      </c>
      <c r="I38" s="272">
        <f t="shared" si="3"/>
        <v>4839.581585</v>
      </c>
      <c r="J38" s="279"/>
      <c r="K38" s="279">
        <v>4789.581585</v>
      </c>
      <c r="L38" s="279"/>
      <c r="M38" s="279"/>
      <c r="N38" s="272">
        <f t="shared" si="6"/>
        <v>50</v>
      </c>
      <c r="O38" s="279"/>
      <c r="P38" s="279">
        <v>50</v>
      </c>
      <c r="Q38" s="272">
        <f t="shared" si="7"/>
        <v>0</v>
      </c>
      <c r="R38" s="280"/>
      <c r="S38" s="280"/>
      <c r="T38" s="280"/>
      <c r="U38" s="276">
        <f t="shared" si="8"/>
        <v>1.0495731045326393</v>
      </c>
      <c r="V38" s="276"/>
      <c r="W38" s="276">
        <f t="shared" si="9"/>
        <v>1.0501165500986624</v>
      </c>
      <c r="X38" s="281"/>
      <c r="Y38" s="281"/>
      <c r="Z38" s="278">
        <f>N38/H38</f>
        <v>1</v>
      </c>
      <c r="AA38" s="152"/>
    </row>
    <row r="39" spans="1:27" s="78" customFormat="1" ht="24.75" customHeight="1">
      <c r="A39" s="270">
        <v>29</v>
      </c>
      <c r="B39" s="282" t="s">
        <v>357</v>
      </c>
      <c r="C39" s="272">
        <f t="shared" si="5"/>
        <v>4334</v>
      </c>
      <c r="D39" s="274"/>
      <c r="E39" s="274">
        <f>4334-50</f>
        <v>4284</v>
      </c>
      <c r="F39" s="274"/>
      <c r="G39" s="274"/>
      <c r="H39" s="274">
        <v>50</v>
      </c>
      <c r="I39" s="272">
        <f>SUM(J39:M39,N39,Q39)</f>
        <v>4584.87</v>
      </c>
      <c r="J39" s="279"/>
      <c r="K39" s="279">
        <f>4484+50</f>
        <v>4534</v>
      </c>
      <c r="L39" s="279"/>
      <c r="M39" s="279"/>
      <c r="N39" s="272">
        <f>SUM(O39:P39)</f>
        <v>50</v>
      </c>
      <c r="O39" s="279"/>
      <c r="P39" s="279">
        <v>50</v>
      </c>
      <c r="Q39" s="272">
        <f>SUM(R39:T39)</f>
        <v>0.87</v>
      </c>
      <c r="R39" s="280">
        <v>0.87</v>
      </c>
      <c r="S39" s="280"/>
      <c r="T39" s="280"/>
      <c r="U39" s="276">
        <f t="shared" si="8"/>
        <v>1.0578841716658975</v>
      </c>
      <c r="V39" s="276"/>
      <c r="W39" s="276">
        <f t="shared" si="9"/>
        <v>1.0583566760037348</v>
      </c>
      <c r="X39" s="281"/>
      <c r="Y39" s="281"/>
      <c r="Z39" s="278">
        <f>N39/H39</f>
        <v>1</v>
      </c>
      <c r="AA39" s="152"/>
    </row>
    <row r="40" spans="1:27" s="78" customFormat="1" ht="24.75" customHeight="1">
      <c r="A40" s="270">
        <v>30</v>
      </c>
      <c r="B40" s="282" t="s">
        <v>343</v>
      </c>
      <c r="C40" s="272">
        <f t="shared" si="5"/>
        <v>5517</v>
      </c>
      <c r="D40" s="274"/>
      <c r="E40" s="274">
        <f>5517-100</f>
        <v>5417</v>
      </c>
      <c r="F40" s="274"/>
      <c r="G40" s="274"/>
      <c r="H40" s="274">
        <v>100</v>
      </c>
      <c r="I40" s="272">
        <f>SUM(J40:M40,N40,Q40)</f>
        <v>5667</v>
      </c>
      <c r="J40" s="279"/>
      <c r="K40" s="279">
        <f>5517+50</f>
        <v>5567</v>
      </c>
      <c r="L40" s="279"/>
      <c r="M40" s="279"/>
      <c r="N40" s="272">
        <f>SUM(O40:P40)</f>
        <v>100</v>
      </c>
      <c r="O40" s="279"/>
      <c r="P40" s="279">
        <v>100</v>
      </c>
      <c r="Q40" s="272">
        <f>SUM(R40:T40)</f>
        <v>0</v>
      </c>
      <c r="R40" s="280"/>
      <c r="S40" s="280"/>
      <c r="T40" s="280"/>
      <c r="U40" s="276">
        <f t="shared" si="8"/>
        <v>1.0271886895051658</v>
      </c>
      <c r="V40" s="276"/>
      <c r="W40" s="276">
        <f t="shared" si="9"/>
        <v>1.0276906036551596</v>
      </c>
      <c r="X40" s="281"/>
      <c r="Y40" s="281"/>
      <c r="Z40" s="278">
        <f>N40/H40</f>
        <v>1</v>
      </c>
      <c r="AA40" s="152"/>
    </row>
    <row r="41" spans="1:27" s="78" customFormat="1" ht="24.75" customHeight="1">
      <c r="A41" s="270">
        <v>31</v>
      </c>
      <c r="B41" s="282" t="s">
        <v>369</v>
      </c>
      <c r="C41" s="272">
        <f t="shared" si="5"/>
        <v>7098</v>
      </c>
      <c r="D41" s="274"/>
      <c r="E41" s="274">
        <v>7098</v>
      </c>
      <c r="F41" s="274"/>
      <c r="G41" s="274"/>
      <c r="H41" s="274"/>
      <c r="I41" s="272">
        <f>SUM(J41:M41,N41,Q41)</f>
        <v>7148</v>
      </c>
      <c r="J41" s="279"/>
      <c r="K41" s="279">
        <f>7058+90</f>
        <v>7148</v>
      </c>
      <c r="L41" s="279"/>
      <c r="M41" s="279"/>
      <c r="N41" s="272">
        <f>SUM(O41:P41)</f>
        <v>0</v>
      </c>
      <c r="O41" s="279"/>
      <c r="P41" s="279"/>
      <c r="Q41" s="272">
        <f>SUM(R41:T41)</f>
        <v>0</v>
      </c>
      <c r="R41" s="280"/>
      <c r="S41" s="280"/>
      <c r="T41" s="280"/>
      <c r="U41" s="276">
        <f t="shared" si="8"/>
        <v>1.0070442378134685</v>
      </c>
      <c r="V41" s="276" t="e">
        <f>J41/D41</f>
        <v>#DIV/0!</v>
      </c>
      <c r="W41" s="276">
        <f t="shared" si="9"/>
        <v>1.0070442378134685</v>
      </c>
      <c r="X41" s="281"/>
      <c r="Y41" s="281"/>
      <c r="Z41" s="278"/>
      <c r="AA41" s="152"/>
    </row>
    <row r="42" spans="1:27" s="78" customFormat="1" ht="24.75" customHeight="1">
      <c r="A42" s="270">
        <v>32</v>
      </c>
      <c r="B42" s="282" t="s">
        <v>344</v>
      </c>
      <c r="C42" s="272">
        <f t="shared" si="5"/>
        <v>2592</v>
      </c>
      <c r="D42" s="274"/>
      <c r="E42" s="274">
        <v>2592</v>
      </c>
      <c r="F42" s="274"/>
      <c r="G42" s="274"/>
      <c r="H42" s="274"/>
      <c r="I42" s="272">
        <f>SUM(J42:M42,N42,Q42)</f>
        <v>2710.471311</v>
      </c>
      <c r="J42" s="279"/>
      <c r="K42" s="279">
        <v>2585.471311</v>
      </c>
      <c r="L42" s="279"/>
      <c r="M42" s="279"/>
      <c r="N42" s="272">
        <f>SUM(O42:P42)</f>
        <v>0</v>
      </c>
      <c r="O42" s="279"/>
      <c r="P42" s="279"/>
      <c r="Q42" s="272">
        <f>SUM(R42:T42)</f>
        <v>125</v>
      </c>
      <c r="R42" s="280">
        <v>125</v>
      </c>
      <c r="S42" s="280"/>
      <c r="T42" s="280"/>
      <c r="U42" s="276">
        <f t="shared" si="8"/>
        <v>1.0457065243055554</v>
      </c>
      <c r="V42" s="276"/>
      <c r="W42" s="276">
        <f t="shared" si="9"/>
        <v>0.9974812156635802</v>
      </c>
      <c r="X42" s="281"/>
      <c r="Y42" s="281"/>
      <c r="Z42" s="278"/>
      <c r="AA42" s="152"/>
    </row>
    <row r="43" spans="1:27" s="78" customFormat="1" ht="24.75" customHeight="1">
      <c r="A43" s="270">
        <v>33</v>
      </c>
      <c r="B43" s="282" t="s">
        <v>257</v>
      </c>
      <c r="C43" s="272">
        <f t="shared" si="5"/>
        <v>1000</v>
      </c>
      <c r="D43" s="274"/>
      <c r="E43" s="274"/>
      <c r="F43" s="274"/>
      <c r="G43" s="274">
        <v>1000</v>
      </c>
      <c r="H43" s="274"/>
      <c r="I43" s="272">
        <f t="shared" si="3"/>
        <v>1000</v>
      </c>
      <c r="J43" s="279"/>
      <c r="K43" s="279"/>
      <c r="L43" s="279"/>
      <c r="M43" s="279">
        <v>1000</v>
      </c>
      <c r="N43" s="272">
        <f t="shared" si="6"/>
        <v>0</v>
      </c>
      <c r="O43" s="279"/>
      <c r="P43" s="279"/>
      <c r="Q43" s="272">
        <f t="shared" si="7"/>
        <v>0</v>
      </c>
      <c r="R43" s="280"/>
      <c r="S43" s="280"/>
      <c r="T43" s="280"/>
      <c r="U43" s="276">
        <f t="shared" si="8"/>
        <v>1</v>
      </c>
      <c r="V43" s="276"/>
      <c r="W43" s="276"/>
      <c r="X43" s="281"/>
      <c r="Y43" s="281">
        <f>M43/G43</f>
        <v>1</v>
      </c>
      <c r="Z43" s="278"/>
      <c r="AA43" s="152"/>
    </row>
    <row r="44" spans="1:27" s="78" customFormat="1" ht="24.75" customHeight="1">
      <c r="A44" s="270">
        <v>34</v>
      </c>
      <c r="B44" s="282" t="s">
        <v>198</v>
      </c>
      <c r="C44" s="272">
        <f t="shared" si="5"/>
        <v>500</v>
      </c>
      <c r="D44" s="274"/>
      <c r="E44" s="274">
        <v>500</v>
      </c>
      <c r="F44" s="274"/>
      <c r="G44" s="274"/>
      <c r="H44" s="274"/>
      <c r="I44" s="272">
        <f t="shared" si="3"/>
        <v>461.927</v>
      </c>
      <c r="J44" s="279"/>
      <c r="K44" s="279">
        <v>461.927</v>
      </c>
      <c r="L44" s="279"/>
      <c r="M44" s="279"/>
      <c r="N44" s="272">
        <f t="shared" si="6"/>
        <v>0</v>
      </c>
      <c r="O44" s="279"/>
      <c r="P44" s="279"/>
      <c r="Q44" s="272">
        <f t="shared" si="7"/>
        <v>0</v>
      </c>
      <c r="R44" s="280"/>
      <c r="S44" s="280"/>
      <c r="T44" s="280"/>
      <c r="U44" s="276">
        <f t="shared" si="8"/>
        <v>0.9238540000000001</v>
      </c>
      <c r="V44" s="276"/>
      <c r="W44" s="276">
        <f>K44/E44</f>
        <v>0.9238540000000001</v>
      </c>
      <c r="X44" s="281"/>
      <c r="Y44" s="281"/>
      <c r="Z44" s="278"/>
      <c r="AA44" s="152"/>
    </row>
    <row r="45" spans="1:27" s="78" customFormat="1" ht="24.75" customHeight="1">
      <c r="A45" s="270">
        <v>35</v>
      </c>
      <c r="B45" s="282" t="s">
        <v>111</v>
      </c>
      <c r="C45" s="272">
        <f t="shared" si="5"/>
        <v>107</v>
      </c>
      <c r="D45" s="274"/>
      <c r="E45" s="274">
        <v>107</v>
      </c>
      <c r="F45" s="274"/>
      <c r="G45" s="274"/>
      <c r="H45" s="274"/>
      <c r="I45" s="272">
        <f t="shared" si="3"/>
        <v>106.99</v>
      </c>
      <c r="J45" s="279"/>
      <c r="K45" s="279">
        <v>106.99</v>
      </c>
      <c r="L45" s="279"/>
      <c r="M45" s="279"/>
      <c r="N45" s="272">
        <f t="shared" si="6"/>
        <v>0</v>
      </c>
      <c r="O45" s="279"/>
      <c r="P45" s="279"/>
      <c r="Q45" s="272">
        <f t="shared" si="7"/>
        <v>0</v>
      </c>
      <c r="R45" s="280"/>
      <c r="S45" s="280"/>
      <c r="T45" s="280"/>
      <c r="U45" s="276">
        <f t="shared" si="8"/>
        <v>0.9999065420560748</v>
      </c>
      <c r="V45" s="276"/>
      <c r="W45" s="276">
        <f>K45/E45</f>
        <v>0.9999065420560748</v>
      </c>
      <c r="X45" s="281"/>
      <c r="Y45" s="281"/>
      <c r="Z45" s="278"/>
      <c r="AA45" s="152"/>
    </row>
    <row r="46" spans="1:27" s="78" customFormat="1" ht="24.75" customHeight="1">
      <c r="A46" s="270">
        <v>36</v>
      </c>
      <c r="B46" s="282" t="s">
        <v>112</v>
      </c>
      <c r="C46" s="272">
        <f t="shared" si="5"/>
        <v>15932</v>
      </c>
      <c r="D46" s="274">
        <v>15800</v>
      </c>
      <c r="E46" s="274">
        <v>132</v>
      </c>
      <c r="F46" s="274"/>
      <c r="G46" s="274"/>
      <c r="H46" s="274"/>
      <c r="I46" s="272">
        <f t="shared" si="3"/>
        <v>15932</v>
      </c>
      <c r="J46" s="279">
        <v>15800</v>
      </c>
      <c r="K46" s="279">
        <v>132</v>
      </c>
      <c r="L46" s="279"/>
      <c r="M46" s="279"/>
      <c r="N46" s="272">
        <f t="shared" si="6"/>
        <v>0</v>
      </c>
      <c r="O46" s="279"/>
      <c r="P46" s="279"/>
      <c r="Q46" s="272">
        <f t="shared" si="7"/>
        <v>0</v>
      </c>
      <c r="R46" s="280"/>
      <c r="S46" s="280"/>
      <c r="T46" s="280"/>
      <c r="U46" s="276">
        <f t="shared" si="8"/>
        <v>1</v>
      </c>
      <c r="V46" s="276">
        <f>J46/D46</f>
        <v>1</v>
      </c>
      <c r="W46" s="276">
        <f>K46/E46</f>
        <v>1</v>
      </c>
      <c r="X46" s="281"/>
      <c r="Y46" s="281"/>
      <c r="Z46" s="278"/>
      <c r="AA46" s="152"/>
    </row>
    <row r="47" spans="1:27" s="78" customFormat="1" ht="24.75" customHeight="1">
      <c r="A47" s="270">
        <v>37</v>
      </c>
      <c r="B47" s="282" t="s">
        <v>10</v>
      </c>
      <c r="C47" s="272">
        <f t="shared" si="5"/>
        <v>6000</v>
      </c>
      <c r="D47" s="274"/>
      <c r="E47" s="274">
        <v>6000</v>
      </c>
      <c r="F47" s="274"/>
      <c r="G47" s="274"/>
      <c r="H47" s="274"/>
      <c r="I47" s="272">
        <f t="shared" si="3"/>
        <v>28851</v>
      </c>
      <c r="J47" s="279"/>
      <c r="K47" s="279">
        <v>28851</v>
      </c>
      <c r="L47" s="279"/>
      <c r="M47" s="279"/>
      <c r="N47" s="272">
        <f t="shared" si="6"/>
        <v>0</v>
      </c>
      <c r="O47" s="279"/>
      <c r="P47" s="279"/>
      <c r="Q47" s="272"/>
      <c r="R47" s="280"/>
      <c r="S47" s="280"/>
      <c r="T47" s="280"/>
      <c r="U47" s="276">
        <f t="shared" si="8"/>
        <v>4.8085</v>
      </c>
      <c r="V47" s="276"/>
      <c r="W47" s="276">
        <f>K47/E47</f>
        <v>4.8085</v>
      </c>
      <c r="X47" s="281"/>
      <c r="Y47" s="281"/>
      <c r="Z47" s="278"/>
      <c r="AA47" s="152"/>
    </row>
    <row r="48" spans="1:27" s="78" customFormat="1" ht="24.75" customHeight="1">
      <c r="A48" s="270">
        <v>38</v>
      </c>
      <c r="B48" s="282" t="s">
        <v>1</v>
      </c>
      <c r="C48" s="272">
        <f t="shared" si="5"/>
        <v>0</v>
      </c>
      <c r="D48" s="274"/>
      <c r="E48" s="274"/>
      <c r="F48" s="274"/>
      <c r="G48" s="274"/>
      <c r="H48" s="274"/>
      <c r="I48" s="272">
        <f t="shared" si="3"/>
        <v>53.1612</v>
      </c>
      <c r="J48" s="279"/>
      <c r="K48" s="279">
        <v>53.1612</v>
      </c>
      <c r="L48" s="279"/>
      <c r="M48" s="279"/>
      <c r="N48" s="272"/>
      <c r="O48" s="279"/>
      <c r="P48" s="279"/>
      <c r="Q48" s="272"/>
      <c r="R48" s="280"/>
      <c r="S48" s="280"/>
      <c r="T48" s="280"/>
      <c r="U48" s="276"/>
      <c r="V48" s="276"/>
      <c r="W48" s="276"/>
      <c r="X48" s="281"/>
      <c r="Y48" s="281"/>
      <c r="Z48" s="278"/>
      <c r="AA48" s="152"/>
    </row>
    <row r="49" spans="1:27" s="78" customFormat="1" ht="38.25" customHeight="1">
      <c r="A49" s="270">
        <v>39</v>
      </c>
      <c r="B49" s="282" t="s">
        <v>295</v>
      </c>
      <c r="C49" s="272">
        <f t="shared" si="5"/>
        <v>800</v>
      </c>
      <c r="D49" s="274"/>
      <c r="E49" s="274"/>
      <c r="F49" s="274"/>
      <c r="G49" s="274"/>
      <c r="H49" s="274">
        <v>800</v>
      </c>
      <c r="I49" s="272">
        <f t="shared" si="3"/>
        <v>0</v>
      </c>
      <c r="J49" s="279"/>
      <c r="K49" s="279"/>
      <c r="L49" s="279"/>
      <c r="M49" s="279"/>
      <c r="N49" s="272">
        <f t="shared" si="6"/>
        <v>0</v>
      </c>
      <c r="O49" s="279"/>
      <c r="P49" s="279"/>
      <c r="Q49" s="272"/>
      <c r="R49" s="280"/>
      <c r="S49" s="280"/>
      <c r="T49" s="280"/>
      <c r="U49" s="276">
        <f>I49/C49</f>
        <v>0</v>
      </c>
      <c r="V49" s="276"/>
      <c r="W49" s="276"/>
      <c r="X49" s="281"/>
      <c r="Y49" s="281"/>
      <c r="Z49" s="278">
        <f>N49/H49</f>
        <v>0</v>
      </c>
      <c r="AA49" s="152"/>
    </row>
    <row r="50" spans="1:27" s="78" customFormat="1" ht="24.75" customHeight="1">
      <c r="A50" s="270">
        <v>40</v>
      </c>
      <c r="B50" s="282" t="s">
        <v>290</v>
      </c>
      <c r="C50" s="272">
        <f t="shared" si="5"/>
        <v>100</v>
      </c>
      <c r="D50" s="274"/>
      <c r="E50" s="274">
        <v>100</v>
      </c>
      <c r="F50" s="274"/>
      <c r="G50" s="274"/>
      <c r="H50" s="274"/>
      <c r="I50" s="272">
        <f t="shared" si="3"/>
        <v>100</v>
      </c>
      <c r="J50" s="279"/>
      <c r="K50" s="279">
        <v>100</v>
      </c>
      <c r="L50" s="279"/>
      <c r="M50" s="279"/>
      <c r="N50" s="272">
        <f t="shared" si="6"/>
        <v>0</v>
      </c>
      <c r="O50" s="279"/>
      <c r="P50" s="279"/>
      <c r="Q50" s="272">
        <f t="shared" si="7"/>
        <v>0</v>
      </c>
      <c r="R50" s="280"/>
      <c r="S50" s="280"/>
      <c r="T50" s="280"/>
      <c r="U50" s="276">
        <f>I50/C50</f>
        <v>1</v>
      </c>
      <c r="V50" s="276"/>
      <c r="W50" s="276">
        <f>K50/E50</f>
        <v>1</v>
      </c>
      <c r="X50" s="281"/>
      <c r="Y50" s="281"/>
      <c r="Z50" s="281"/>
      <c r="AA50" s="152"/>
    </row>
    <row r="51" spans="1:27" s="78" customFormat="1" ht="24.75" customHeight="1">
      <c r="A51" s="270">
        <v>41</v>
      </c>
      <c r="B51" s="282" t="s">
        <v>371</v>
      </c>
      <c r="C51" s="272">
        <f t="shared" si="5"/>
        <v>0</v>
      </c>
      <c r="D51" s="274"/>
      <c r="E51" s="274"/>
      <c r="F51" s="274"/>
      <c r="G51" s="274"/>
      <c r="H51" s="274"/>
      <c r="I51" s="272">
        <f t="shared" si="3"/>
        <v>150</v>
      </c>
      <c r="J51" s="279"/>
      <c r="K51" s="279">
        <v>150</v>
      </c>
      <c r="L51" s="279"/>
      <c r="M51" s="279"/>
      <c r="N51" s="272">
        <f t="shared" si="6"/>
        <v>0</v>
      </c>
      <c r="O51" s="279"/>
      <c r="P51" s="279"/>
      <c r="Q51" s="272">
        <f t="shared" si="7"/>
        <v>0</v>
      </c>
      <c r="R51" s="280"/>
      <c r="S51" s="280"/>
      <c r="T51" s="280"/>
      <c r="U51" s="276"/>
      <c r="V51" s="276"/>
      <c r="W51" s="276"/>
      <c r="X51" s="281"/>
      <c r="Y51" s="281"/>
      <c r="Z51" s="281"/>
      <c r="AA51" s="152"/>
    </row>
    <row r="52" spans="1:27" s="78" customFormat="1" ht="24.75" customHeight="1">
      <c r="A52" s="270">
        <v>42</v>
      </c>
      <c r="B52" s="282" t="s">
        <v>108</v>
      </c>
      <c r="C52" s="272">
        <f t="shared" si="5"/>
        <v>100</v>
      </c>
      <c r="D52" s="274"/>
      <c r="E52" s="274">
        <v>100</v>
      </c>
      <c r="F52" s="274"/>
      <c r="G52" s="274"/>
      <c r="H52" s="274"/>
      <c r="I52" s="272">
        <f t="shared" si="3"/>
        <v>1150</v>
      </c>
      <c r="J52" s="279"/>
      <c r="K52" s="279">
        <f>100+50</f>
        <v>150</v>
      </c>
      <c r="L52" s="279"/>
      <c r="M52" s="279"/>
      <c r="N52" s="272">
        <f t="shared" si="6"/>
        <v>0</v>
      </c>
      <c r="O52" s="279"/>
      <c r="P52" s="279"/>
      <c r="Q52" s="272">
        <f t="shared" si="7"/>
        <v>1000</v>
      </c>
      <c r="R52" s="280">
        <v>1000</v>
      </c>
      <c r="S52" s="280"/>
      <c r="T52" s="280"/>
      <c r="U52" s="276">
        <f>I52/C52</f>
        <v>11.5</v>
      </c>
      <c r="V52" s="276"/>
      <c r="W52" s="276">
        <f>K52/E52</f>
        <v>1.5</v>
      </c>
      <c r="X52" s="281"/>
      <c r="Y52" s="281"/>
      <c r="Z52" s="281"/>
      <c r="AA52" s="152"/>
    </row>
    <row r="53" spans="1:27" s="78" customFormat="1" ht="24.75" customHeight="1">
      <c r="A53" s="270">
        <v>43</v>
      </c>
      <c r="B53" s="282" t="s">
        <v>109</v>
      </c>
      <c r="C53" s="272">
        <f t="shared" si="5"/>
        <v>100</v>
      </c>
      <c r="D53" s="274"/>
      <c r="E53" s="274">
        <v>100</v>
      </c>
      <c r="F53" s="274"/>
      <c r="G53" s="274"/>
      <c r="H53" s="274"/>
      <c r="I53" s="272">
        <f t="shared" si="3"/>
        <v>150</v>
      </c>
      <c r="J53" s="279"/>
      <c r="K53" s="279">
        <f>100+50</f>
        <v>150</v>
      </c>
      <c r="L53" s="279"/>
      <c r="M53" s="279"/>
      <c r="N53" s="272">
        <f t="shared" si="6"/>
        <v>0</v>
      </c>
      <c r="O53" s="279"/>
      <c r="P53" s="279"/>
      <c r="Q53" s="272">
        <f t="shared" si="7"/>
        <v>0</v>
      </c>
      <c r="R53" s="280"/>
      <c r="S53" s="280"/>
      <c r="T53" s="280"/>
      <c r="U53" s="276">
        <f>I53/C53</f>
        <v>1.5</v>
      </c>
      <c r="V53" s="276"/>
      <c r="W53" s="276">
        <f>K53/E53</f>
        <v>1.5</v>
      </c>
      <c r="X53" s="281"/>
      <c r="Y53" s="281"/>
      <c r="Z53" s="281"/>
      <c r="AA53" s="152"/>
    </row>
    <row r="54" spans="1:27" s="78" customFormat="1" ht="24.75" customHeight="1">
      <c r="A54" s="270">
        <v>44</v>
      </c>
      <c r="B54" s="282" t="s">
        <v>200</v>
      </c>
      <c r="C54" s="272">
        <f t="shared" si="5"/>
        <v>30810.051519</v>
      </c>
      <c r="D54" s="274">
        <v>14140.051519</v>
      </c>
      <c r="E54" s="274">
        <v>16670</v>
      </c>
      <c r="F54" s="274"/>
      <c r="G54" s="274"/>
      <c r="H54" s="274"/>
      <c r="I54" s="272">
        <f t="shared" si="3"/>
        <v>26195.665179999996</v>
      </c>
      <c r="J54" s="279">
        <f>4637.136142</f>
        <v>4637.136142</v>
      </c>
      <c r="K54" s="279">
        <f>3370.484038+18188.045</f>
        <v>21558.529037999997</v>
      </c>
      <c r="L54" s="279"/>
      <c r="M54" s="279"/>
      <c r="N54" s="272">
        <f t="shared" si="6"/>
        <v>0</v>
      </c>
      <c r="O54" s="279"/>
      <c r="P54" s="279"/>
      <c r="Q54" s="272">
        <f t="shared" si="7"/>
        <v>0</v>
      </c>
      <c r="R54" s="280"/>
      <c r="S54" s="280"/>
      <c r="T54" s="280"/>
      <c r="U54" s="276"/>
      <c r="V54" s="276">
        <f>J54/D54</f>
        <v>0.3279433696382984</v>
      </c>
      <c r="W54" s="276">
        <f>K54/E54</f>
        <v>1.2932530916616676</v>
      </c>
      <c r="X54" s="281"/>
      <c r="Y54" s="281"/>
      <c r="Z54" s="281"/>
      <c r="AA54" s="152"/>
    </row>
    <row r="55" spans="1:27" s="78" customFormat="1" ht="24.75" customHeight="1">
      <c r="A55" s="270">
        <v>45</v>
      </c>
      <c r="B55" s="282" t="s">
        <v>367</v>
      </c>
      <c r="C55" s="272">
        <f t="shared" si="5"/>
        <v>55127.939</v>
      </c>
      <c r="D55" s="274">
        <v>10277.939</v>
      </c>
      <c r="E55" s="274">
        <v>44850</v>
      </c>
      <c r="F55" s="274"/>
      <c r="G55" s="274"/>
      <c r="H55" s="274"/>
      <c r="I55" s="272">
        <f>SUM(J55:M55,N55,Q55)</f>
        <v>60511.020466999995</v>
      </c>
      <c r="J55" s="279">
        <v>10251.202</v>
      </c>
      <c r="K55" s="279">
        <f>4275.368467+34.45+45950</f>
        <v>50259.818467</v>
      </c>
      <c r="L55" s="279"/>
      <c r="M55" s="279"/>
      <c r="N55" s="272">
        <f>SUM(O55:P55)</f>
        <v>0</v>
      </c>
      <c r="O55" s="279"/>
      <c r="P55" s="279"/>
      <c r="Q55" s="272">
        <f>SUM(R55:T55)</f>
        <v>0</v>
      </c>
      <c r="R55" s="280"/>
      <c r="S55" s="280"/>
      <c r="T55" s="280"/>
      <c r="U55" s="276">
        <f>I55/C55</f>
        <v>1.0976470654380894</v>
      </c>
      <c r="V55" s="276">
        <f>J55/D55</f>
        <v>0.9973986029689415</v>
      </c>
      <c r="W55" s="276">
        <f>K55/E55</f>
        <v>1.1206202556744704</v>
      </c>
      <c r="X55" s="281"/>
      <c r="Y55" s="281"/>
      <c r="Z55" s="281"/>
      <c r="AA55" s="152"/>
    </row>
    <row r="56" spans="1:27" s="78" customFormat="1" ht="24.75" customHeight="1">
      <c r="A56" s="270">
        <v>46</v>
      </c>
      <c r="B56" s="282" t="s">
        <v>127</v>
      </c>
      <c r="C56" s="272">
        <f t="shared" si="5"/>
        <v>26937.847</v>
      </c>
      <c r="D56" s="274">
        <v>15827.847</v>
      </c>
      <c r="E56" s="274">
        <v>11110</v>
      </c>
      <c r="F56" s="274"/>
      <c r="G56" s="274"/>
      <c r="H56" s="274"/>
      <c r="I56" s="272">
        <f t="shared" si="3"/>
        <v>34089.039266</v>
      </c>
      <c r="J56" s="279">
        <v>15873.262266</v>
      </c>
      <c r="K56" s="279">
        <f>2545.179+11445.88</f>
        <v>13991.059</v>
      </c>
      <c r="L56" s="279"/>
      <c r="M56" s="279"/>
      <c r="N56" s="272">
        <f t="shared" si="6"/>
        <v>0</v>
      </c>
      <c r="O56" s="279"/>
      <c r="P56" s="279"/>
      <c r="Q56" s="272">
        <f t="shared" si="7"/>
        <v>4224.718</v>
      </c>
      <c r="R56" s="280"/>
      <c r="S56" s="280"/>
      <c r="T56" s="280">
        <v>4224.718</v>
      </c>
      <c r="U56" s="276">
        <f>I56/C56</f>
        <v>1.2654700750954595</v>
      </c>
      <c r="V56" s="276">
        <f>J56/D56</f>
        <v>1.0028693268263207</v>
      </c>
      <c r="W56" s="276">
        <f>K56/E56</f>
        <v>1.2593212421242124</v>
      </c>
      <c r="X56" s="281"/>
      <c r="Y56" s="281"/>
      <c r="Z56" s="281"/>
      <c r="AA56" s="152"/>
    </row>
    <row r="57" spans="1:27" s="78" customFormat="1" ht="24.75" customHeight="1">
      <c r="A57" s="270">
        <v>47</v>
      </c>
      <c r="B57" s="282" t="s">
        <v>199</v>
      </c>
      <c r="C57" s="272">
        <f t="shared" si="5"/>
        <v>0</v>
      </c>
      <c r="D57" s="274"/>
      <c r="E57" s="274"/>
      <c r="F57" s="274"/>
      <c r="G57" s="274"/>
      <c r="H57" s="274"/>
      <c r="I57" s="272">
        <f t="shared" si="3"/>
        <v>3023.54</v>
      </c>
      <c r="J57" s="279"/>
      <c r="K57" s="279">
        <f>1900+1053.54</f>
        <v>2953.54</v>
      </c>
      <c r="L57" s="279"/>
      <c r="M57" s="279"/>
      <c r="N57" s="272">
        <f t="shared" si="6"/>
        <v>0</v>
      </c>
      <c r="O57" s="279"/>
      <c r="P57" s="279"/>
      <c r="Q57" s="272">
        <f t="shared" si="7"/>
        <v>70</v>
      </c>
      <c r="R57" s="280"/>
      <c r="S57" s="280">
        <v>70</v>
      </c>
      <c r="T57" s="280"/>
      <c r="U57" s="276"/>
      <c r="V57" s="276"/>
      <c r="W57" s="276"/>
      <c r="X57" s="281"/>
      <c r="Y57" s="281"/>
      <c r="Z57" s="281"/>
      <c r="AA57" s="152"/>
    </row>
    <row r="58" spans="1:27" s="78" customFormat="1" ht="24.75" customHeight="1">
      <c r="A58" s="270">
        <v>48</v>
      </c>
      <c r="B58" s="282" t="s">
        <v>250</v>
      </c>
      <c r="C58" s="272">
        <f t="shared" si="5"/>
        <v>0</v>
      </c>
      <c r="D58" s="274"/>
      <c r="E58" s="274"/>
      <c r="F58" s="274"/>
      <c r="G58" s="274"/>
      <c r="H58" s="274"/>
      <c r="I58" s="272">
        <f>SUM(J58:M58,N58,Q58)</f>
        <v>347466</v>
      </c>
      <c r="J58" s="279"/>
      <c r="K58" s="279">
        <v>347466</v>
      </c>
      <c r="L58" s="279"/>
      <c r="M58" s="279"/>
      <c r="N58" s="272">
        <f>SUM(O58:P58)</f>
        <v>0</v>
      </c>
      <c r="O58" s="279"/>
      <c r="P58" s="279"/>
      <c r="Q58" s="272">
        <f>SUM(R58:T58)</f>
        <v>0</v>
      </c>
      <c r="R58" s="280"/>
      <c r="S58" s="280"/>
      <c r="T58" s="280"/>
      <c r="U58" s="276"/>
      <c r="V58" s="276"/>
      <c r="W58" s="276"/>
      <c r="X58" s="281"/>
      <c r="Y58" s="281"/>
      <c r="Z58" s="281"/>
      <c r="AA58" s="152"/>
    </row>
    <row r="59" spans="1:27" s="78" customFormat="1" ht="24.75" customHeight="1">
      <c r="A59" s="270">
        <v>49</v>
      </c>
      <c r="B59" s="282" t="s">
        <v>252</v>
      </c>
      <c r="C59" s="272">
        <f t="shared" si="5"/>
        <v>2000</v>
      </c>
      <c r="D59" s="274"/>
      <c r="E59" s="300">
        <v>2000</v>
      </c>
      <c r="F59" s="274"/>
      <c r="G59" s="274"/>
      <c r="H59" s="274"/>
      <c r="I59" s="272">
        <f t="shared" si="3"/>
        <v>2500</v>
      </c>
      <c r="J59" s="279"/>
      <c r="K59" s="279">
        <v>2500</v>
      </c>
      <c r="L59" s="279"/>
      <c r="M59" s="279"/>
      <c r="N59" s="272">
        <f t="shared" si="6"/>
        <v>0</v>
      </c>
      <c r="O59" s="279"/>
      <c r="P59" s="279"/>
      <c r="Q59" s="272">
        <f t="shared" si="7"/>
        <v>0</v>
      </c>
      <c r="R59" s="280"/>
      <c r="S59" s="280"/>
      <c r="T59" s="280"/>
      <c r="U59" s="276">
        <f>I59/C59</f>
        <v>1.25</v>
      </c>
      <c r="V59" s="276"/>
      <c r="W59" s="276">
        <f>K59/E59</f>
        <v>1.25</v>
      </c>
      <c r="X59" s="281"/>
      <c r="Y59" s="281"/>
      <c r="Z59" s="281"/>
      <c r="AA59" s="152"/>
    </row>
    <row r="60" spans="1:27" s="78" customFormat="1" ht="38.25" customHeight="1">
      <c r="A60" s="270">
        <v>50</v>
      </c>
      <c r="B60" s="282" t="s">
        <v>242</v>
      </c>
      <c r="C60" s="272">
        <f t="shared" si="5"/>
        <v>0</v>
      </c>
      <c r="D60" s="274"/>
      <c r="E60" s="274"/>
      <c r="F60" s="274"/>
      <c r="G60" s="274"/>
      <c r="H60" s="274"/>
      <c r="I60" s="272">
        <f t="shared" si="3"/>
        <v>13.1292</v>
      </c>
      <c r="J60" s="279"/>
      <c r="K60" s="279">
        <v>13.1292</v>
      </c>
      <c r="L60" s="279"/>
      <c r="M60" s="279"/>
      <c r="N60" s="272"/>
      <c r="O60" s="279"/>
      <c r="P60" s="279"/>
      <c r="Q60" s="272">
        <f t="shared" si="7"/>
        <v>0</v>
      </c>
      <c r="R60" s="280"/>
      <c r="S60" s="280"/>
      <c r="T60" s="280"/>
      <c r="U60" s="276"/>
      <c r="V60" s="276"/>
      <c r="W60" s="276"/>
      <c r="X60" s="281"/>
      <c r="Y60" s="281"/>
      <c r="Z60" s="281"/>
      <c r="AA60" s="152"/>
    </row>
    <row r="61" spans="1:27" s="78" customFormat="1" ht="41.25" customHeight="1">
      <c r="A61" s="270">
        <v>51</v>
      </c>
      <c r="B61" s="282" t="s">
        <v>241</v>
      </c>
      <c r="C61" s="272">
        <f t="shared" si="5"/>
        <v>1543</v>
      </c>
      <c r="D61" s="274"/>
      <c r="E61" s="274"/>
      <c r="F61" s="274">
        <v>1543</v>
      </c>
      <c r="G61" s="274"/>
      <c r="H61" s="274"/>
      <c r="I61" s="272">
        <f t="shared" si="3"/>
        <v>787.62502</v>
      </c>
      <c r="J61" s="279"/>
      <c r="K61" s="279"/>
      <c r="L61" s="279">
        <v>787.62502</v>
      </c>
      <c r="M61" s="279"/>
      <c r="N61" s="272"/>
      <c r="O61" s="279"/>
      <c r="P61" s="279"/>
      <c r="Q61" s="272">
        <f t="shared" si="7"/>
        <v>0</v>
      </c>
      <c r="R61" s="280"/>
      <c r="S61" s="280"/>
      <c r="T61" s="280"/>
      <c r="U61" s="276">
        <f>I61/C61</f>
        <v>0.5104504342190538</v>
      </c>
      <c r="V61" s="276"/>
      <c r="W61" s="276"/>
      <c r="X61" s="281">
        <f>L61/F61</f>
        <v>0.5104504342190538</v>
      </c>
      <c r="Y61" s="281"/>
      <c r="Z61" s="281"/>
      <c r="AA61" s="152"/>
    </row>
    <row r="62" spans="1:27" s="78" customFormat="1" ht="37.5" customHeight="1">
      <c r="A62" s="270">
        <v>52</v>
      </c>
      <c r="B62" s="282" t="s">
        <v>253</v>
      </c>
      <c r="C62" s="272">
        <f t="shared" si="5"/>
        <v>0</v>
      </c>
      <c r="D62" s="274"/>
      <c r="E62" s="274"/>
      <c r="F62" s="274"/>
      <c r="G62" s="274"/>
      <c r="H62" s="274"/>
      <c r="I62" s="272">
        <f t="shared" si="3"/>
        <v>1923.657918</v>
      </c>
      <c r="J62" s="279"/>
      <c r="K62" s="279">
        <v>1923.657918</v>
      </c>
      <c r="L62" s="279"/>
      <c r="M62" s="279"/>
      <c r="N62" s="272">
        <f>SUM(O62:P62)</f>
        <v>0</v>
      </c>
      <c r="O62" s="279"/>
      <c r="P62" s="279"/>
      <c r="Q62" s="272">
        <f t="shared" si="7"/>
        <v>0</v>
      </c>
      <c r="R62" s="280"/>
      <c r="S62" s="280"/>
      <c r="T62" s="280"/>
      <c r="U62" s="276"/>
      <c r="V62" s="276"/>
      <c r="W62" s="276"/>
      <c r="X62" s="281"/>
      <c r="Y62" s="281"/>
      <c r="Z62" s="281"/>
      <c r="AA62" s="152"/>
    </row>
    <row r="63" spans="1:27" s="78" customFormat="1" ht="39.75" customHeight="1">
      <c r="A63" s="270">
        <v>53</v>
      </c>
      <c r="B63" s="282" t="s">
        <v>256</v>
      </c>
      <c r="C63" s="272">
        <f t="shared" si="5"/>
        <v>0</v>
      </c>
      <c r="D63" s="274"/>
      <c r="E63" s="274"/>
      <c r="F63" s="274"/>
      <c r="G63" s="274"/>
      <c r="H63" s="274"/>
      <c r="I63" s="272">
        <f t="shared" si="3"/>
        <v>2289.962472</v>
      </c>
      <c r="J63" s="279">
        <v>2289.962472</v>
      </c>
      <c r="K63" s="279"/>
      <c r="L63" s="279"/>
      <c r="M63" s="279"/>
      <c r="N63" s="272"/>
      <c r="O63" s="279"/>
      <c r="P63" s="279"/>
      <c r="Q63" s="272">
        <f t="shared" si="7"/>
        <v>0</v>
      </c>
      <c r="R63" s="280"/>
      <c r="S63" s="280"/>
      <c r="T63" s="280"/>
      <c r="U63" s="276"/>
      <c r="V63" s="276"/>
      <c r="W63" s="276"/>
      <c r="X63" s="281"/>
      <c r="Y63" s="281"/>
      <c r="Z63" s="281"/>
      <c r="AA63" s="152"/>
    </row>
    <row r="64" spans="1:27" s="78" customFormat="1" ht="36.75" customHeight="1">
      <c r="A64" s="270">
        <v>54</v>
      </c>
      <c r="B64" s="282" t="s">
        <v>379</v>
      </c>
      <c r="C64" s="272">
        <f t="shared" si="5"/>
        <v>80326.059</v>
      </c>
      <c r="D64" s="274">
        <v>80326.059</v>
      </c>
      <c r="E64" s="274"/>
      <c r="F64" s="274"/>
      <c r="G64" s="274"/>
      <c r="H64" s="274"/>
      <c r="I64" s="272">
        <f t="shared" si="3"/>
        <v>101449.638619</v>
      </c>
      <c r="J64" s="279">
        <v>98741.740619</v>
      </c>
      <c r="K64" s="279"/>
      <c r="L64" s="279"/>
      <c r="M64" s="279"/>
      <c r="N64" s="272"/>
      <c r="O64" s="279"/>
      <c r="P64" s="279"/>
      <c r="Q64" s="272">
        <f t="shared" si="7"/>
        <v>2707.898</v>
      </c>
      <c r="R64" s="280"/>
      <c r="S64" s="280"/>
      <c r="T64" s="280">
        <f>977.221+1730.677</f>
        <v>2707.898</v>
      </c>
      <c r="U64" s="276">
        <f aca="true" t="shared" si="10" ref="U64:V69">I64/C64</f>
        <v>1.2629729365784024</v>
      </c>
      <c r="V64" s="276">
        <f t="shared" si="10"/>
        <v>1.2292616100959217</v>
      </c>
      <c r="W64" s="276"/>
      <c r="X64" s="281"/>
      <c r="Y64" s="281"/>
      <c r="Z64" s="281"/>
      <c r="AA64" s="152"/>
    </row>
    <row r="65" spans="1:27" s="78" customFormat="1" ht="39.75" customHeight="1">
      <c r="A65" s="270">
        <v>55</v>
      </c>
      <c r="B65" s="282" t="s">
        <v>6</v>
      </c>
      <c r="C65" s="272">
        <f t="shared" si="5"/>
        <v>95250.666737</v>
      </c>
      <c r="D65" s="274">
        <v>95250.666737</v>
      </c>
      <c r="E65" s="274"/>
      <c r="F65" s="274"/>
      <c r="G65" s="274"/>
      <c r="H65" s="274"/>
      <c r="I65" s="272">
        <f t="shared" si="3"/>
        <v>242240.187778</v>
      </c>
      <c r="J65" s="279">
        <v>219669.950226</v>
      </c>
      <c r="K65" s="279"/>
      <c r="L65" s="279"/>
      <c r="M65" s="279"/>
      <c r="N65" s="272"/>
      <c r="O65" s="279"/>
      <c r="P65" s="279"/>
      <c r="Q65" s="272">
        <f t="shared" si="7"/>
        <v>22570.237552</v>
      </c>
      <c r="R65" s="280"/>
      <c r="S65" s="280"/>
      <c r="T65" s="280">
        <f>349.624+7590+2092.387652+1617+921.2259+10000</f>
        <v>22570.237552</v>
      </c>
      <c r="U65" s="276">
        <f t="shared" si="10"/>
        <v>2.543186269203322</v>
      </c>
      <c r="V65" s="276">
        <f t="shared" si="10"/>
        <v>2.3062300533028126</v>
      </c>
      <c r="W65" s="276"/>
      <c r="X65" s="281"/>
      <c r="Y65" s="281"/>
      <c r="Z65" s="281"/>
      <c r="AA65" s="152"/>
    </row>
    <row r="66" spans="1:27" s="78" customFormat="1" ht="24.75" customHeight="1">
      <c r="A66" s="270">
        <v>56</v>
      </c>
      <c r="B66" s="282" t="s">
        <v>380</v>
      </c>
      <c r="C66" s="272">
        <f t="shared" si="5"/>
        <v>582453.279</v>
      </c>
      <c r="D66" s="274">
        <v>579453.279</v>
      </c>
      <c r="E66" s="274">
        <v>3000</v>
      </c>
      <c r="F66" s="274"/>
      <c r="G66" s="274"/>
      <c r="H66" s="274"/>
      <c r="I66" s="272">
        <f t="shared" si="3"/>
        <v>394047.64778500004</v>
      </c>
      <c r="J66" s="279">
        <v>106757.503963</v>
      </c>
      <c r="K66" s="279">
        <v>5499.996</v>
      </c>
      <c r="L66" s="279"/>
      <c r="M66" s="279"/>
      <c r="N66" s="272"/>
      <c r="O66" s="279"/>
      <c r="P66" s="279"/>
      <c r="Q66" s="272">
        <f t="shared" si="7"/>
        <v>281790.147822</v>
      </c>
      <c r="R66" s="280"/>
      <c r="S66" s="280"/>
      <c r="T66" s="280">
        <f>15755.668+266034.479822</f>
        <v>281790.147822</v>
      </c>
      <c r="U66" s="276">
        <f t="shared" si="10"/>
        <v>0.6765309115634665</v>
      </c>
      <c r="V66" s="276">
        <f t="shared" si="10"/>
        <v>0.1842383291837408</v>
      </c>
      <c r="W66" s="276">
        <f>K66/E66</f>
        <v>1.833332</v>
      </c>
      <c r="X66" s="281"/>
      <c r="Y66" s="281"/>
      <c r="Z66" s="281"/>
      <c r="AA66" s="152"/>
    </row>
    <row r="67" spans="1:27" s="78" customFormat="1" ht="24.75" customHeight="1">
      <c r="A67" s="270">
        <v>57</v>
      </c>
      <c r="B67" s="289" t="s">
        <v>9</v>
      </c>
      <c r="C67" s="272">
        <f t="shared" si="5"/>
        <v>11937.217052</v>
      </c>
      <c r="D67" s="274">
        <v>11937.217052</v>
      </c>
      <c r="E67" s="274"/>
      <c r="F67" s="274"/>
      <c r="G67" s="274"/>
      <c r="H67" s="274"/>
      <c r="I67" s="272">
        <f t="shared" si="3"/>
        <v>5168.670952</v>
      </c>
      <c r="J67" s="279">
        <v>5168.670952</v>
      </c>
      <c r="K67" s="279"/>
      <c r="L67" s="279"/>
      <c r="M67" s="279"/>
      <c r="N67" s="272"/>
      <c r="O67" s="279"/>
      <c r="P67" s="279"/>
      <c r="Q67" s="272">
        <f t="shared" si="7"/>
        <v>0</v>
      </c>
      <c r="R67" s="280"/>
      <c r="S67" s="280"/>
      <c r="T67" s="280"/>
      <c r="U67" s="276">
        <f t="shared" si="10"/>
        <v>0.43298793424670323</v>
      </c>
      <c r="V67" s="276">
        <f t="shared" si="10"/>
        <v>0.43298793424670323</v>
      </c>
      <c r="W67" s="276"/>
      <c r="X67" s="281"/>
      <c r="Y67" s="281"/>
      <c r="Z67" s="281"/>
      <c r="AA67" s="152"/>
    </row>
    <row r="68" spans="1:27" s="78" customFormat="1" ht="24.75" customHeight="1">
      <c r="A68" s="270">
        <v>58</v>
      </c>
      <c r="B68" s="289" t="s">
        <v>381</v>
      </c>
      <c r="C68" s="272">
        <f t="shared" si="5"/>
        <v>1500</v>
      </c>
      <c r="D68" s="274">
        <v>1500</v>
      </c>
      <c r="E68" s="274"/>
      <c r="F68" s="274"/>
      <c r="G68" s="274"/>
      <c r="H68" s="274"/>
      <c r="I68" s="272">
        <f t="shared" si="3"/>
        <v>0</v>
      </c>
      <c r="J68" s="279"/>
      <c r="K68" s="279"/>
      <c r="L68" s="279"/>
      <c r="M68" s="279"/>
      <c r="N68" s="272"/>
      <c r="O68" s="279"/>
      <c r="P68" s="279"/>
      <c r="Q68" s="272">
        <f t="shared" si="7"/>
        <v>0</v>
      </c>
      <c r="R68" s="280"/>
      <c r="S68" s="280"/>
      <c r="T68" s="280"/>
      <c r="U68" s="276">
        <f t="shared" si="10"/>
        <v>0</v>
      </c>
      <c r="V68" s="276">
        <f t="shared" si="10"/>
        <v>0</v>
      </c>
      <c r="W68" s="276"/>
      <c r="X68" s="281"/>
      <c r="Y68" s="281"/>
      <c r="Z68" s="281"/>
      <c r="AA68" s="152"/>
    </row>
    <row r="69" spans="1:27" s="78" customFormat="1" ht="39.75" customHeight="1">
      <c r="A69" s="270">
        <v>59</v>
      </c>
      <c r="B69" s="282" t="s">
        <v>8</v>
      </c>
      <c r="C69" s="272">
        <f t="shared" si="5"/>
        <v>10145.569636</v>
      </c>
      <c r="D69" s="274">
        <v>10145.569636</v>
      </c>
      <c r="E69" s="274"/>
      <c r="F69" s="274"/>
      <c r="G69" s="274"/>
      <c r="H69" s="274"/>
      <c r="I69" s="272">
        <f t="shared" si="3"/>
        <v>7869.761635999999</v>
      </c>
      <c r="J69" s="279">
        <v>1961.249894</v>
      </c>
      <c r="K69" s="279"/>
      <c r="L69" s="279"/>
      <c r="M69" s="279"/>
      <c r="N69" s="272"/>
      <c r="O69" s="279"/>
      <c r="P69" s="279"/>
      <c r="Q69" s="272">
        <f t="shared" si="7"/>
        <v>5908.511742</v>
      </c>
      <c r="R69" s="280"/>
      <c r="S69" s="280"/>
      <c r="T69" s="280">
        <v>5908.511742</v>
      </c>
      <c r="U69" s="276">
        <f t="shared" si="10"/>
        <v>0.7756845518141589</v>
      </c>
      <c r="V69" s="276">
        <f t="shared" si="10"/>
        <v>0.19331096866565334</v>
      </c>
      <c r="W69" s="276"/>
      <c r="X69" s="281"/>
      <c r="Y69" s="281"/>
      <c r="Z69" s="281"/>
      <c r="AA69" s="152"/>
    </row>
    <row r="70" spans="1:27" s="78" customFormat="1" ht="38.25" customHeight="1">
      <c r="A70" s="270">
        <v>60</v>
      </c>
      <c r="B70" s="282" t="s">
        <v>243</v>
      </c>
      <c r="C70" s="272">
        <f t="shared" si="5"/>
        <v>0</v>
      </c>
      <c r="D70" s="274"/>
      <c r="E70" s="274"/>
      <c r="F70" s="274"/>
      <c r="G70" s="274"/>
      <c r="H70" s="274"/>
      <c r="I70" s="272">
        <f t="shared" si="3"/>
        <v>42.13</v>
      </c>
      <c r="J70" s="279"/>
      <c r="K70" s="279">
        <v>42.13</v>
      </c>
      <c r="L70" s="279"/>
      <c r="M70" s="279"/>
      <c r="N70" s="272"/>
      <c r="O70" s="279"/>
      <c r="P70" s="279"/>
      <c r="Q70" s="272">
        <f t="shared" si="7"/>
        <v>0</v>
      </c>
      <c r="R70" s="280"/>
      <c r="S70" s="280"/>
      <c r="T70" s="280"/>
      <c r="U70" s="276"/>
      <c r="V70" s="276"/>
      <c r="W70" s="276"/>
      <c r="X70" s="281"/>
      <c r="Y70" s="281"/>
      <c r="Z70" s="281"/>
      <c r="AA70" s="152"/>
    </row>
    <row r="71" spans="1:27" s="78" customFormat="1" ht="24.75" customHeight="1">
      <c r="A71" s="270">
        <v>61</v>
      </c>
      <c r="B71" s="289" t="s">
        <v>0</v>
      </c>
      <c r="C71" s="272">
        <f t="shared" si="5"/>
        <v>0</v>
      </c>
      <c r="D71" s="274"/>
      <c r="E71" s="274"/>
      <c r="F71" s="274"/>
      <c r="G71" s="274"/>
      <c r="H71" s="274"/>
      <c r="I71" s="272">
        <f t="shared" si="3"/>
        <v>300</v>
      </c>
      <c r="J71" s="279"/>
      <c r="K71" s="279">
        <v>300</v>
      </c>
      <c r="L71" s="279"/>
      <c r="M71" s="279"/>
      <c r="N71" s="272"/>
      <c r="O71" s="279"/>
      <c r="P71" s="279"/>
      <c r="Q71" s="272">
        <f t="shared" si="7"/>
        <v>0</v>
      </c>
      <c r="R71" s="280"/>
      <c r="S71" s="280"/>
      <c r="T71" s="280"/>
      <c r="U71" s="276"/>
      <c r="V71" s="276"/>
      <c r="W71" s="276"/>
      <c r="X71" s="281"/>
      <c r="Y71" s="281"/>
      <c r="Z71" s="281"/>
      <c r="AA71" s="152"/>
    </row>
    <row r="72" spans="1:27" s="78" customFormat="1" ht="26.25" customHeight="1">
      <c r="A72" s="270">
        <v>63</v>
      </c>
      <c r="B72" s="282" t="s">
        <v>115</v>
      </c>
      <c r="C72" s="272">
        <f t="shared" si="5"/>
        <v>100000</v>
      </c>
      <c r="D72" s="274">
        <v>100000</v>
      </c>
      <c r="E72" s="283"/>
      <c r="F72" s="274"/>
      <c r="G72" s="274"/>
      <c r="H72" s="274"/>
      <c r="I72" s="272">
        <f t="shared" si="3"/>
        <v>100993.75541700001</v>
      </c>
      <c r="J72" s="279">
        <v>100726.769417</v>
      </c>
      <c r="K72" s="279"/>
      <c r="L72" s="279"/>
      <c r="M72" s="279"/>
      <c r="N72" s="272"/>
      <c r="O72" s="279"/>
      <c r="P72" s="279"/>
      <c r="Q72" s="272">
        <f t="shared" si="7"/>
        <v>266.986</v>
      </c>
      <c r="R72" s="280"/>
      <c r="S72" s="280"/>
      <c r="T72" s="280">
        <v>266.986</v>
      </c>
      <c r="U72" s="276">
        <f>I72/C72</f>
        <v>1.00993755417</v>
      </c>
      <c r="V72" s="276">
        <f>J72/D72</f>
        <v>1.00726769417</v>
      </c>
      <c r="W72" s="276"/>
      <c r="X72" s="281"/>
      <c r="Y72" s="281"/>
      <c r="Z72" s="281"/>
      <c r="AA72" s="152"/>
    </row>
    <row r="73" spans="1:27" s="78" customFormat="1" ht="24.75" customHeight="1">
      <c r="A73" s="270">
        <v>66</v>
      </c>
      <c r="B73" s="282" t="s">
        <v>375</v>
      </c>
      <c r="C73" s="272">
        <f t="shared" si="5"/>
        <v>15649</v>
      </c>
      <c r="D73" s="274"/>
      <c r="E73" s="283">
        <v>15649</v>
      </c>
      <c r="F73" s="274"/>
      <c r="G73" s="274"/>
      <c r="H73" s="274"/>
      <c r="I73" s="272">
        <f>SUM(J73:M73,N73,Q73)</f>
        <v>15649</v>
      </c>
      <c r="J73" s="279"/>
      <c r="K73" s="279">
        <v>15649</v>
      </c>
      <c r="L73" s="279"/>
      <c r="M73" s="279"/>
      <c r="N73" s="272"/>
      <c r="O73" s="279"/>
      <c r="P73" s="279"/>
      <c r="Q73" s="272">
        <f t="shared" si="7"/>
        <v>0</v>
      </c>
      <c r="R73" s="280"/>
      <c r="S73" s="280"/>
      <c r="T73" s="280"/>
      <c r="U73" s="276">
        <f aca="true" t="shared" si="11" ref="U73:U88">I73/C73</f>
        <v>1</v>
      </c>
      <c r="V73" s="276"/>
      <c r="W73" s="276">
        <f>K73/E73</f>
        <v>1</v>
      </c>
      <c r="X73" s="281"/>
      <c r="Y73" s="281"/>
      <c r="Z73" s="281"/>
      <c r="AA73" s="152"/>
    </row>
    <row r="74" spans="1:27" s="78" customFormat="1" ht="24.75" customHeight="1">
      <c r="A74" s="270">
        <v>67</v>
      </c>
      <c r="B74" s="282" t="s">
        <v>376</v>
      </c>
      <c r="C74" s="272">
        <f t="shared" si="5"/>
        <v>1566</v>
      </c>
      <c r="D74" s="274"/>
      <c r="E74" s="283">
        <v>1566</v>
      </c>
      <c r="F74" s="274"/>
      <c r="G74" s="274"/>
      <c r="H74" s="274"/>
      <c r="I74" s="272">
        <f>SUM(J74:M74,N74,Q74)</f>
        <v>1862.725</v>
      </c>
      <c r="J74" s="279"/>
      <c r="K74" s="279">
        <f>296.725+1566</f>
        <v>1862.725</v>
      </c>
      <c r="L74" s="279"/>
      <c r="M74" s="279"/>
      <c r="N74" s="272"/>
      <c r="O74" s="279"/>
      <c r="P74" s="279"/>
      <c r="Q74" s="272">
        <f t="shared" si="7"/>
        <v>0</v>
      </c>
      <c r="R74" s="280"/>
      <c r="S74" s="280"/>
      <c r="T74" s="280"/>
      <c r="U74" s="276">
        <f t="shared" si="11"/>
        <v>1.1894795657726691</v>
      </c>
      <c r="V74" s="276"/>
      <c r="W74" s="276">
        <f>K74/E74</f>
        <v>1.1894795657726691</v>
      </c>
      <c r="X74" s="281"/>
      <c r="Y74" s="281"/>
      <c r="Z74" s="281"/>
      <c r="AA74" s="152"/>
    </row>
    <row r="75" spans="1:27" s="78" customFormat="1" ht="24.75" customHeight="1">
      <c r="A75" s="270">
        <v>68</v>
      </c>
      <c r="B75" s="289" t="s">
        <v>4</v>
      </c>
      <c r="C75" s="272">
        <f t="shared" si="5"/>
        <v>3000</v>
      </c>
      <c r="D75" s="274">
        <v>3000</v>
      </c>
      <c r="E75" s="274"/>
      <c r="F75" s="274"/>
      <c r="G75" s="274"/>
      <c r="H75" s="274"/>
      <c r="I75" s="272">
        <f>SUM(J75:M75,N75,Q75)</f>
        <v>3000</v>
      </c>
      <c r="J75" s="279">
        <v>3000</v>
      </c>
      <c r="K75" s="279"/>
      <c r="L75" s="279"/>
      <c r="M75" s="279"/>
      <c r="N75" s="272"/>
      <c r="O75" s="279"/>
      <c r="P75" s="279"/>
      <c r="Q75" s="272">
        <f aca="true" t="shared" si="12" ref="Q75:Q100">SUM(R75:T75)</f>
        <v>0</v>
      </c>
      <c r="R75" s="280"/>
      <c r="S75" s="280"/>
      <c r="T75" s="280"/>
      <c r="U75" s="276">
        <f t="shared" si="11"/>
        <v>1</v>
      </c>
      <c r="V75" s="276">
        <f aca="true" t="shared" si="13" ref="V75:V100">J75/D75</f>
        <v>1</v>
      </c>
      <c r="W75" s="276"/>
      <c r="X75" s="281"/>
      <c r="Y75" s="281"/>
      <c r="Z75" s="281"/>
      <c r="AA75" s="152"/>
    </row>
    <row r="76" spans="1:27" s="78" customFormat="1" ht="24.75" customHeight="1">
      <c r="A76" s="270">
        <v>69</v>
      </c>
      <c r="B76" s="289" t="s">
        <v>7</v>
      </c>
      <c r="C76" s="272">
        <f>SUM(D76:H76)</f>
        <v>1400</v>
      </c>
      <c r="D76" s="274">
        <v>1400</v>
      </c>
      <c r="E76" s="274"/>
      <c r="F76" s="274"/>
      <c r="G76" s="274"/>
      <c r="H76" s="274"/>
      <c r="I76" s="272">
        <f>SUM(J76:M76,N76,Q76)</f>
        <v>1400</v>
      </c>
      <c r="J76" s="279">
        <v>1400</v>
      </c>
      <c r="K76" s="279"/>
      <c r="L76" s="279"/>
      <c r="M76" s="279"/>
      <c r="N76" s="272"/>
      <c r="O76" s="279"/>
      <c r="P76" s="279"/>
      <c r="Q76" s="272">
        <f t="shared" si="12"/>
        <v>0</v>
      </c>
      <c r="R76" s="280"/>
      <c r="S76" s="280"/>
      <c r="T76" s="280"/>
      <c r="U76" s="276">
        <f t="shared" si="11"/>
        <v>1</v>
      </c>
      <c r="V76" s="276">
        <f t="shared" si="13"/>
        <v>1</v>
      </c>
      <c r="W76" s="276"/>
      <c r="X76" s="281"/>
      <c r="Y76" s="281"/>
      <c r="Z76" s="281"/>
      <c r="AA76" s="152"/>
    </row>
    <row r="77" spans="1:27" s="145" customFormat="1" ht="24.75" customHeight="1">
      <c r="A77" s="264" t="s">
        <v>87</v>
      </c>
      <c r="B77" s="299" t="s">
        <v>248</v>
      </c>
      <c r="C77" s="284">
        <f>SUM(C78:C89)</f>
        <v>14858</v>
      </c>
      <c r="D77" s="285"/>
      <c r="E77" s="285">
        <f aca="true" t="shared" si="14" ref="E77:T77">SUM(E78:E89)</f>
        <v>14858</v>
      </c>
      <c r="F77" s="285">
        <f t="shared" si="14"/>
        <v>0</v>
      </c>
      <c r="G77" s="285">
        <f t="shared" si="14"/>
        <v>0</v>
      </c>
      <c r="H77" s="285"/>
      <c r="I77" s="284">
        <f t="shared" si="14"/>
        <v>17243.574806000004</v>
      </c>
      <c r="J77" s="284">
        <f t="shared" si="14"/>
        <v>0</v>
      </c>
      <c r="K77" s="284">
        <f t="shared" si="14"/>
        <v>17243.574806000004</v>
      </c>
      <c r="L77" s="284">
        <f t="shared" si="14"/>
        <v>0</v>
      </c>
      <c r="M77" s="284">
        <f t="shared" si="14"/>
        <v>0</v>
      </c>
      <c r="N77" s="284">
        <f t="shared" si="14"/>
        <v>0</v>
      </c>
      <c r="O77" s="284">
        <f t="shared" si="14"/>
        <v>0</v>
      </c>
      <c r="P77" s="284">
        <f t="shared" si="14"/>
        <v>0</v>
      </c>
      <c r="Q77" s="284">
        <f t="shared" si="14"/>
        <v>0</v>
      </c>
      <c r="R77" s="286">
        <f t="shared" si="14"/>
        <v>0</v>
      </c>
      <c r="S77" s="286">
        <f t="shared" si="14"/>
        <v>0</v>
      </c>
      <c r="T77" s="286">
        <f t="shared" si="14"/>
        <v>0</v>
      </c>
      <c r="U77" s="262">
        <f t="shared" si="11"/>
        <v>1.1605582720419978</v>
      </c>
      <c r="V77" s="276"/>
      <c r="W77" s="262">
        <f aca="true" t="shared" si="15" ref="W77:W89">K77/E77</f>
        <v>1.1605582720419978</v>
      </c>
      <c r="X77" s="287"/>
      <c r="Y77" s="287"/>
      <c r="Z77" s="287"/>
      <c r="AA77" s="154"/>
    </row>
    <row r="78" spans="1:27" s="78" customFormat="1" ht="24.75" customHeight="1">
      <c r="A78" s="270">
        <v>1</v>
      </c>
      <c r="B78" s="282" t="s">
        <v>236</v>
      </c>
      <c r="C78" s="272">
        <f>SUM(D78:H78)</f>
        <v>2795</v>
      </c>
      <c r="D78" s="274"/>
      <c r="E78" s="283">
        <v>2795</v>
      </c>
      <c r="F78" s="274"/>
      <c r="G78" s="274"/>
      <c r="H78" s="274"/>
      <c r="I78" s="272">
        <f aca="true" t="shared" si="16" ref="I78:I89">SUM(J78:M78,N78,Q78)</f>
        <v>4225.97925</v>
      </c>
      <c r="J78" s="279"/>
      <c r="K78" s="279">
        <f>2850.395+1375.58425</f>
        <v>4225.97925</v>
      </c>
      <c r="L78" s="279"/>
      <c r="M78" s="279"/>
      <c r="N78" s="272">
        <f aca="true" t="shared" si="17" ref="N78:N88">SUM(O78:P78)</f>
        <v>0</v>
      </c>
      <c r="O78" s="279"/>
      <c r="P78" s="279"/>
      <c r="Q78" s="272">
        <f aca="true" t="shared" si="18" ref="Q78:Q88">SUM(R78:T78)</f>
        <v>0</v>
      </c>
      <c r="R78" s="280"/>
      <c r="S78" s="280"/>
      <c r="T78" s="280"/>
      <c r="U78" s="276">
        <f t="shared" si="11"/>
        <v>1.5119782647584974</v>
      </c>
      <c r="V78" s="276"/>
      <c r="W78" s="276">
        <f t="shared" si="15"/>
        <v>1.5119782647584974</v>
      </c>
      <c r="X78" s="281"/>
      <c r="Y78" s="281"/>
      <c r="Z78" s="281"/>
      <c r="AA78" s="152"/>
    </row>
    <row r="79" spans="1:27" s="78" customFormat="1" ht="24.75" customHeight="1">
      <c r="A79" s="270">
        <v>2</v>
      </c>
      <c r="B79" s="282" t="s">
        <v>235</v>
      </c>
      <c r="C79" s="272">
        <f aca="true" t="shared" si="19" ref="C79:C100">SUM(D79:H79)</f>
        <v>2488</v>
      </c>
      <c r="D79" s="274"/>
      <c r="E79" s="283">
        <f>2988-500</f>
        <v>2488</v>
      </c>
      <c r="F79" s="274"/>
      <c r="G79" s="274"/>
      <c r="H79" s="274"/>
      <c r="I79" s="272">
        <f t="shared" si="16"/>
        <v>2856</v>
      </c>
      <c r="J79" s="279"/>
      <c r="K79" s="279">
        <f>2371+485</f>
        <v>2856</v>
      </c>
      <c r="L79" s="279"/>
      <c r="M79" s="279"/>
      <c r="N79" s="272">
        <f t="shared" si="17"/>
        <v>0</v>
      </c>
      <c r="O79" s="279"/>
      <c r="P79" s="279"/>
      <c r="Q79" s="272">
        <f t="shared" si="18"/>
        <v>0</v>
      </c>
      <c r="R79" s="280"/>
      <c r="S79" s="280"/>
      <c r="T79" s="280"/>
      <c r="U79" s="276">
        <f t="shared" si="11"/>
        <v>1.1479099678456592</v>
      </c>
      <c r="V79" s="276"/>
      <c r="W79" s="276">
        <f t="shared" si="15"/>
        <v>1.1479099678456592</v>
      </c>
      <c r="X79" s="281"/>
      <c r="Y79" s="281"/>
      <c r="Z79" s="281"/>
      <c r="AA79" s="152"/>
    </row>
    <row r="80" spans="1:27" s="78" customFormat="1" ht="24.75" customHeight="1">
      <c r="A80" s="270">
        <v>3</v>
      </c>
      <c r="B80" s="282" t="s">
        <v>197</v>
      </c>
      <c r="C80" s="272">
        <f t="shared" si="19"/>
        <v>315</v>
      </c>
      <c r="D80" s="274"/>
      <c r="E80" s="283">
        <v>315</v>
      </c>
      <c r="F80" s="274"/>
      <c r="G80" s="274"/>
      <c r="H80" s="274"/>
      <c r="I80" s="272">
        <f t="shared" si="16"/>
        <v>315</v>
      </c>
      <c r="J80" s="279"/>
      <c r="K80" s="279">
        <v>315</v>
      </c>
      <c r="L80" s="279"/>
      <c r="M80" s="279"/>
      <c r="N80" s="272">
        <f t="shared" si="17"/>
        <v>0</v>
      </c>
      <c r="O80" s="279"/>
      <c r="P80" s="279"/>
      <c r="Q80" s="272">
        <f t="shared" si="18"/>
        <v>0</v>
      </c>
      <c r="R80" s="280"/>
      <c r="S80" s="280"/>
      <c r="T80" s="280"/>
      <c r="U80" s="276">
        <f t="shared" si="11"/>
        <v>1</v>
      </c>
      <c r="V80" s="276"/>
      <c r="W80" s="276">
        <f t="shared" si="15"/>
        <v>1</v>
      </c>
      <c r="X80" s="281"/>
      <c r="Y80" s="281"/>
      <c r="Z80" s="281"/>
      <c r="AA80" s="152"/>
    </row>
    <row r="81" spans="1:27" s="78" customFormat="1" ht="24.75" customHeight="1">
      <c r="A81" s="270">
        <v>4</v>
      </c>
      <c r="B81" s="282" t="s">
        <v>292</v>
      </c>
      <c r="C81" s="272">
        <f t="shared" si="19"/>
        <v>530</v>
      </c>
      <c r="D81" s="274"/>
      <c r="E81" s="283">
        <v>530</v>
      </c>
      <c r="F81" s="274"/>
      <c r="G81" s="274"/>
      <c r="H81" s="274"/>
      <c r="I81" s="272">
        <f t="shared" si="16"/>
        <v>1041</v>
      </c>
      <c r="J81" s="279"/>
      <c r="K81" s="279">
        <v>1041</v>
      </c>
      <c r="L81" s="279"/>
      <c r="M81" s="279"/>
      <c r="N81" s="272">
        <f t="shared" si="17"/>
        <v>0</v>
      </c>
      <c r="O81" s="279"/>
      <c r="P81" s="279"/>
      <c r="Q81" s="272">
        <f t="shared" si="18"/>
        <v>0</v>
      </c>
      <c r="R81" s="280"/>
      <c r="S81" s="280"/>
      <c r="T81" s="280"/>
      <c r="U81" s="276">
        <f t="shared" si="11"/>
        <v>1.9641509433962263</v>
      </c>
      <c r="V81" s="276"/>
      <c r="W81" s="276">
        <f t="shared" si="15"/>
        <v>1.9641509433962263</v>
      </c>
      <c r="X81" s="281"/>
      <c r="Y81" s="281"/>
      <c r="Z81" s="281"/>
      <c r="AA81" s="152"/>
    </row>
    <row r="82" spans="1:27" s="78" customFormat="1" ht="24.75" customHeight="1">
      <c r="A82" s="270">
        <v>5</v>
      </c>
      <c r="B82" s="282" t="s">
        <v>3</v>
      </c>
      <c r="C82" s="272">
        <f t="shared" si="19"/>
        <v>3014</v>
      </c>
      <c r="D82" s="274"/>
      <c r="E82" s="283">
        <v>3014</v>
      </c>
      <c r="F82" s="274"/>
      <c r="G82" s="274"/>
      <c r="H82" s="274"/>
      <c r="I82" s="272">
        <f t="shared" si="16"/>
        <v>3065.3990000000003</v>
      </c>
      <c r="J82" s="279"/>
      <c r="K82" s="279">
        <f>1928.402+1136.997</f>
        <v>3065.3990000000003</v>
      </c>
      <c r="L82" s="279"/>
      <c r="M82" s="279"/>
      <c r="N82" s="272">
        <f t="shared" si="17"/>
        <v>0</v>
      </c>
      <c r="O82" s="279"/>
      <c r="P82" s="279"/>
      <c r="Q82" s="272">
        <f t="shared" si="18"/>
        <v>0</v>
      </c>
      <c r="R82" s="280"/>
      <c r="S82" s="280"/>
      <c r="T82" s="280"/>
      <c r="U82" s="276">
        <f t="shared" si="11"/>
        <v>1.0170534173855343</v>
      </c>
      <c r="V82" s="276"/>
      <c r="W82" s="276">
        <f t="shared" si="15"/>
        <v>1.0170534173855343</v>
      </c>
      <c r="X82" s="281"/>
      <c r="Y82" s="281"/>
      <c r="Z82" s="281"/>
      <c r="AA82" s="152"/>
    </row>
    <row r="83" spans="1:27" s="78" customFormat="1" ht="24.75" customHeight="1">
      <c r="A83" s="270">
        <v>6</v>
      </c>
      <c r="B83" s="282" t="s">
        <v>293</v>
      </c>
      <c r="C83" s="272">
        <f t="shared" si="19"/>
        <v>1234</v>
      </c>
      <c r="D83" s="274"/>
      <c r="E83" s="283">
        <v>1234</v>
      </c>
      <c r="F83" s="274"/>
      <c r="G83" s="274"/>
      <c r="H83" s="274"/>
      <c r="I83" s="272">
        <f t="shared" si="16"/>
        <v>1424</v>
      </c>
      <c r="J83" s="279"/>
      <c r="K83" s="279">
        <v>1424</v>
      </c>
      <c r="L83" s="279"/>
      <c r="M83" s="279"/>
      <c r="N83" s="272">
        <f t="shared" si="17"/>
        <v>0</v>
      </c>
      <c r="O83" s="279"/>
      <c r="P83" s="279"/>
      <c r="Q83" s="272">
        <f t="shared" si="18"/>
        <v>0</v>
      </c>
      <c r="R83" s="280"/>
      <c r="S83" s="280"/>
      <c r="T83" s="280"/>
      <c r="U83" s="276">
        <f t="shared" si="11"/>
        <v>1.1539708265802269</v>
      </c>
      <c r="V83" s="276"/>
      <c r="W83" s="276">
        <f t="shared" si="15"/>
        <v>1.1539708265802269</v>
      </c>
      <c r="X83" s="281"/>
      <c r="Y83" s="281"/>
      <c r="Z83" s="281"/>
      <c r="AA83" s="152"/>
    </row>
    <row r="84" spans="1:27" s="78" customFormat="1" ht="24.75" customHeight="1">
      <c r="A84" s="270">
        <v>7</v>
      </c>
      <c r="B84" s="282" t="s">
        <v>237</v>
      </c>
      <c r="C84" s="272">
        <f t="shared" si="19"/>
        <v>220</v>
      </c>
      <c r="D84" s="274"/>
      <c r="E84" s="283">
        <v>220</v>
      </c>
      <c r="F84" s="274"/>
      <c r="G84" s="274"/>
      <c r="H84" s="274"/>
      <c r="I84" s="272">
        <f t="shared" si="16"/>
        <v>220</v>
      </c>
      <c r="J84" s="279"/>
      <c r="K84" s="279">
        <v>220</v>
      </c>
      <c r="L84" s="279"/>
      <c r="M84" s="279"/>
      <c r="N84" s="272">
        <f t="shared" si="17"/>
        <v>0</v>
      </c>
      <c r="O84" s="279"/>
      <c r="P84" s="279"/>
      <c r="Q84" s="272">
        <f t="shared" si="18"/>
        <v>0</v>
      </c>
      <c r="R84" s="280"/>
      <c r="S84" s="280"/>
      <c r="T84" s="280"/>
      <c r="U84" s="276">
        <f t="shared" si="11"/>
        <v>1</v>
      </c>
      <c r="V84" s="276"/>
      <c r="W84" s="276">
        <f t="shared" si="15"/>
        <v>1</v>
      </c>
      <c r="X84" s="281"/>
      <c r="Y84" s="281"/>
      <c r="Z84" s="281"/>
      <c r="AA84" s="152"/>
    </row>
    <row r="85" spans="1:27" s="78" customFormat="1" ht="24.75" customHeight="1">
      <c r="A85" s="270">
        <v>8</v>
      </c>
      <c r="B85" s="282" t="s">
        <v>238</v>
      </c>
      <c r="C85" s="272">
        <f t="shared" si="19"/>
        <v>1050</v>
      </c>
      <c r="D85" s="274"/>
      <c r="E85" s="283">
        <v>1050</v>
      </c>
      <c r="F85" s="274"/>
      <c r="G85" s="274"/>
      <c r="H85" s="274"/>
      <c r="I85" s="272">
        <f t="shared" si="16"/>
        <v>1100</v>
      </c>
      <c r="J85" s="279"/>
      <c r="K85" s="279">
        <v>1100</v>
      </c>
      <c r="L85" s="279"/>
      <c r="M85" s="279"/>
      <c r="N85" s="272">
        <f t="shared" si="17"/>
        <v>0</v>
      </c>
      <c r="O85" s="279"/>
      <c r="P85" s="279"/>
      <c r="Q85" s="272">
        <f t="shared" si="18"/>
        <v>0</v>
      </c>
      <c r="R85" s="280"/>
      <c r="S85" s="280"/>
      <c r="T85" s="280"/>
      <c r="U85" s="276">
        <f t="shared" si="11"/>
        <v>1.0476190476190477</v>
      </c>
      <c r="V85" s="276"/>
      <c r="W85" s="276">
        <f t="shared" si="15"/>
        <v>1.0476190476190477</v>
      </c>
      <c r="X85" s="281"/>
      <c r="Y85" s="281"/>
      <c r="Z85" s="281"/>
      <c r="AA85" s="152"/>
    </row>
    <row r="86" spans="1:27" s="78" customFormat="1" ht="24.75" customHeight="1">
      <c r="A86" s="270">
        <v>9</v>
      </c>
      <c r="B86" s="282" t="s">
        <v>110</v>
      </c>
      <c r="C86" s="272">
        <f t="shared" si="19"/>
        <v>147</v>
      </c>
      <c r="D86" s="274"/>
      <c r="E86" s="283">
        <v>147</v>
      </c>
      <c r="F86" s="274"/>
      <c r="G86" s="274"/>
      <c r="H86" s="274"/>
      <c r="I86" s="272">
        <f t="shared" si="16"/>
        <v>162.268</v>
      </c>
      <c r="J86" s="279"/>
      <c r="K86" s="279">
        <v>162.268</v>
      </c>
      <c r="L86" s="279"/>
      <c r="M86" s="279"/>
      <c r="N86" s="272">
        <f t="shared" si="17"/>
        <v>0</v>
      </c>
      <c r="O86" s="279"/>
      <c r="P86" s="279"/>
      <c r="Q86" s="272">
        <f t="shared" si="18"/>
        <v>0</v>
      </c>
      <c r="R86" s="280"/>
      <c r="S86" s="280"/>
      <c r="T86" s="280"/>
      <c r="U86" s="276">
        <f t="shared" si="11"/>
        <v>1.1038639455782313</v>
      </c>
      <c r="V86" s="276"/>
      <c r="W86" s="276">
        <f t="shared" si="15"/>
        <v>1.1038639455782313</v>
      </c>
      <c r="X86" s="281"/>
      <c r="Y86" s="281"/>
      <c r="Z86" s="281"/>
      <c r="AA86" s="152"/>
    </row>
    <row r="87" spans="1:27" s="78" customFormat="1" ht="24.75" customHeight="1">
      <c r="A87" s="270">
        <v>10</v>
      </c>
      <c r="B87" s="282" t="s">
        <v>239</v>
      </c>
      <c r="C87" s="272">
        <f t="shared" si="19"/>
        <v>381</v>
      </c>
      <c r="D87" s="274"/>
      <c r="E87" s="283">
        <v>381</v>
      </c>
      <c r="F87" s="274"/>
      <c r="G87" s="274"/>
      <c r="H87" s="274"/>
      <c r="I87" s="272">
        <f t="shared" si="16"/>
        <v>379.928556</v>
      </c>
      <c r="J87" s="279"/>
      <c r="K87" s="279">
        <v>379.928556</v>
      </c>
      <c r="L87" s="279"/>
      <c r="M87" s="279"/>
      <c r="N87" s="272">
        <f t="shared" si="17"/>
        <v>0</v>
      </c>
      <c r="O87" s="279"/>
      <c r="P87" s="279"/>
      <c r="Q87" s="272">
        <f t="shared" si="18"/>
        <v>0</v>
      </c>
      <c r="R87" s="280"/>
      <c r="S87" s="280"/>
      <c r="T87" s="280"/>
      <c r="U87" s="276">
        <f t="shared" si="11"/>
        <v>0.9971878110236221</v>
      </c>
      <c r="V87" s="276"/>
      <c r="W87" s="276">
        <f t="shared" si="15"/>
        <v>0.9971878110236221</v>
      </c>
      <c r="X87" s="281"/>
      <c r="Y87" s="281"/>
      <c r="Z87" s="281"/>
      <c r="AA87" s="152"/>
    </row>
    <row r="88" spans="1:27" s="78" customFormat="1" ht="24.75" customHeight="1">
      <c r="A88" s="270">
        <v>11</v>
      </c>
      <c r="B88" s="282" t="s">
        <v>240</v>
      </c>
      <c r="C88" s="272">
        <f t="shared" si="19"/>
        <v>2431</v>
      </c>
      <c r="D88" s="274"/>
      <c r="E88" s="283">
        <v>2431</v>
      </c>
      <c r="F88" s="274"/>
      <c r="G88" s="274"/>
      <c r="H88" s="274"/>
      <c r="I88" s="272">
        <f t="shared" si="16"/>
        <v>2161</v>
      </c>
      <c r="J88" s="279"/>
      <c r="K88" s="279">
        <v>2161</v>
      </c>
      <c r="L88" s="279"/>
      <c r="M88" s="279"/>
      <c r="N88" s="272">
        <f t="shared" si="17"/>
        <v>0</v>
      </c>
      <c r="O88" s="279"/>
      <c r="P88" s="279"/>
      <c r="Q88" s="272">
        <f t="shared" si="18"/>
        <v>0</v>
      </c>
      <c r="R88" s="280"/>
      <c r="S88" s="280"/>
      <c r="T88" s="280"/>
      <c r="U88" s="276">
        <f t="shared" si="11"/>
        <v>0.8889345948169478</v>
      </c>
      <c r="V88" s="276"/>
      <c r="W88" s="276">
        <f t="shared" si="15"/>
        <v>0.8889345948169478</v>
      </c>
      <c r="X88" s="281"/>
      <c r="Y88" s="281"/>
      <c r="Z88" s="281"/>
      <c r="AA88" s="152"/>
    </row>
    <row r="89" spans="1:27" s="78" customFormat="1" ht="24.75" customHeight="1">
      <c r="A89" s="270">
        <v>12</v>
      </c>
      <c r="B89" s="282" t="s">
        <v>294</v>
      </c>
      <c r="C89" s="272">
        <f t="shared" si="19"/>
        <v>253</v>
      </c>
      <c r="D89" s="274"/>
      <c r="E89" s="274">
        <v>253</v>
      </c>
      <c r="F89" s="274"/>
      <c r="G89" s="274"/>
      <c r="H89" s="274"/>
      <c r="I89" s="272">
        <f t="shared" si="16"/>
        <v>293</v>
      </c>
      <c r="J89" s="279"/>
      <c r="K89" s="279">
        <v>293</v>
      </c>
      <c r="L89" s="279"/>
      <c r="M89" s="279"/>
      <c r="N89" s="272">
        <f t="shared" si="6"/>
        <v>0</v>
      </c>
      <c r="O89" s="279"/>
      <c r="P89" s="279"/>
      <c r="Q89" s="272">
        <f t="shared" si="12"/>
        <v>0</v>
      </c>
      <c r="R89" s="280"/>
      <c r="S89" s="280"/>
      <c r="T89" s="280"/>
      <c r="U89" s="276"/>
      <c r="V89" s="276"/>
      <c r="W89" s="276">
        <f t="shared" si="15"/>
        <v>1.158102766798419</v>
      </c>
      <c r="X89" s="281"/>
      <c r="Y89" s="281"/>
      <c r="Z89" s="281"/>
      <c r="AA89" s="152"/>
    </row>
    <row r="90" spans="1:27" s="145" customFormat="1" ht="24.75" customHeight="1">
      <c r="A90" s="264" t="s">
        <v>88</v>
      </c>
      <c r="B90" s="299" t="s">
        <v>378</v>
      </c>
      <c r="C90" s="284">
        <f>SUM(C91:C100)</f>
        <v>964020.387444</v>
      </c>
      <c r="D90" s="284">
        <f>SUM(D91:D100)</f>
        <v>964020.387444</v>
      </c>
      <c r="E90" s="285">
        <f aca="true" t="shared" si="20" ref="E90:P90">SUM(E91:E100)</f>
        <v>0</v>
      </c>
      <c r="F90" s="285">
        <f t="shared" si="20"/>
        <v>0</v>
      </c>
      <c r="G90" s="285">
        <f t="shared" si="20"/>
        <v>0</v>
      </c>
      <c r="H90" s="285"/>
      <c r="I90" s="284">
        <f t="shared" si="20"/>
        <v>953063.554302</v>
      </c>
      <c r="J90" s="284">
        <f t="shared" si="20"/>
        <v>740714.3571830001</v>
      </c>
      <c r="K90" s="284">
        <f t="shared" si="20"/>
        <v>0</v>
      </c>
      <c r="L90" s="284">
        <f t="shared" si="20"/>
        <v>0</v>
      </c>
      <c r="M90" s="284">
        <f t="shared" si="20"/>
        <v>0</v>
      </c>
      <c r="N90" s="284">
        <f t="shared" si="20"/>
        <v>0</v>
      </c>
      <c r="O90" s="284">
        <f t="shared" si="20"/>
        <v>0</v>
      </c>
      <c r="P90" s="284">
        <f t="shared" si="20"/>
        <v>0</v>
      </c>
      <c r="Q90" s="266">
        <f t="shared" si="12"/>
        <v>212349.19711900002</v>
      </c>
      <c r="R90" s="286">
        <f>SUM(R91:R100)</f>
        <v>0</v>
      </c>
      <c r="S90" s="286">
        <f>SUM(S91:S100)</f>
        <v>0</v>
      </c>
      <c r="T90" s="286">
        <f>SUM(T91:T100)</f>
        <v>212349.19711900002</v>
      </c>
      <c r="U90" s="262"/>
      <c r="V90" s="262">
        <f t="shared" si="13"/>
        <v>0.768359639309006</v>
      </c>
      <c r="W90" s="262"/>
      <c r="X90" s="287"/>
      <c r="Y90" s="287"/>
      <c r="Z90" s="287"/>
      <c r="AA90" s="155"/>
    </row>
    <row r="91" spans="1:27" s="78" customFormat="1" ht="24.75" customHeight="1">
      <c r="A91" s="288">
        <v>1</v>
      </c>
      <c r="B91" s="289" t="s">
        <v>33</v>
      </c>
      <c r="C91" s="272">
        <f t="shared" si="19"/>
        <v>154128.068584</v>
      </c>
      <c r="D91" s="274">
        <v>154128.068584</v>
      </c>
      <c r="E91" s="274"/>
      <c r="F91" s="274"/>
      <c r="G91" s="274"/>
      <c r="H91" s="274"/>
      <c r="I91" s="272">
        <f>SUM(J91:M91,N91,Q91)</f>
        <v>151212.369542</v>
      </c>
      <c r="J91" s="279">
        <v>87853.491596</v>
      </c>
      <c r="K91" s="279"/>
      <c r="L91" s="279"/>
      <c r="M91" s="279"/>
      <c r="N91" s="272">
        <f aca="true" t="shared" si="21" ref="N91:N100">SUM(O91:P91)</f>
        <v>0</v>
      </c>
      <c r="O91" s="279"/>
      <c r="P91" s="279"/>
      <c r="Q91" s="272">
        <f t="shared" si="12"/>
        <v>63358.877946</v>
      </c>
      <c r="R91" s="280"/>
      <c r="S91" s="280"/>
      <c r="T91" s="280">
        <f>2485.382706+4895.108+8750+46495.047+733.34024</f>
        <v>63358.877946</v>
      </c>
      <c r="U91" s="276"/>
      <c r="V91" s="276">
        <f t="shared" si="13"/>
        <v>0.5700031954148556</v>
      </c>
      <c r="W91" s="276"/>
      <c r="X91" s="281"/>
      <c r="Y91" s="281"/>
      <c r="Z91" s="281"/>
      <c r="AA91" s="152"/>
    </row>
    <row r="92" spans="1:27" s="78" customFormat="1" ht="24.75" customHeight="1">
      <c r="A92" s="288">
        <v>2</v>
      </c>
      <c r="B92" s="289" t="s">
        <v>31</v>
      </c>
      <c r="C92" s="272">
        <f t="shared" si="19"/>
        <v>96040.05664</v>
      </c>
      <c r="D92" s="274">
        <v>96040.05664</v>
      </c>
      <c r="E92" s="274"/>
      <c r="F92" s="274"/>
      <c r="G92" s="274"/>
      <c r="H92" s="274"/>
      <c r="I92" s="272">
        <f aca="true" t="shared" si="22" ref="I92:I100">SUM(J92:M92,N92,Q92)</f>
        <v>87226.64264</v>
      </c>
      <c r="J92" s="279">
        <v>74650.41164</v>
      </c>
      <c r="K92" s="279"/>
      <c r="L92" s="279"/>
      <c r="M92" s="279"/>
      <c r="N92" s="272">
        <f t="shared" si="21"/>
        <v>0</v>
      </c>
      <c r="O92" s="279"/>
      <c r="P92" s="279"/>
      <c r="Q92" s="272">
        <f t="shared" si="12"/>
        <v>12576.231</v>
      </c>
      <c r="R92" s="280"/>
      <c r="S92" s="280"/>
      <c r="T92" s="280">
        <f>8116.857+2600+1859.374</f>
        <v>12576.231</v>
      </c>
      <c r="U92" s="276"/>
      <c r="V92" s="276">
        <f t="shared" si="13"/>
        <v>0.7772841275991985</v>
      </c>
      <c r="W92" s="276"/>
      <c r="X92" s="281"/>
      <c r="Y92" s="281"/>
      <c r="Z92" s="281"/>
      <c r="AA92" s="152"/>
    </row>
    <row r="93" spans="1:27" s="78" customFormat="1" ht="24.75" customHeight="1">
      <c r="A93" s="288">
        <v>3</v>
      </c>
      <c r="B93" s="289" t="s">
        <v>32</v>
      </c>
      <c r="C93" s="272">
        <f t="shared" si="19"/>
        <v>113202.355</v>
      </c>
      <c r="D93" s="274">
        <v>113202.355</v>
      </c>
      <c r="E93" s="274"/>
      <c r="F93" s="274"/>
      <c r="G93" s="274"/>
      <c r="H93" s="274"/>
      <c r="I93" s="272">
        <f t="shared" si="22"/>
        <v>116397.667639</v>
      </c>
      <c r="J93" s="279">
        <v>97845.753639</v>
      </c>
      <c r="K93" s="279"/>
      <c r="L93" s="279"/>
      <c r="M93" s="279"/>
      <c r="N93" s="272">
        <f t="shared" si="21"/>
        <v>0</v>
      </c>
      <c r="O93" s="279"/>
      <c r="P93" s="279"/>
      <c r="Q93" s="272">
        <f t="shared" si="12"/>
        <v>18551.914</v>
      </c>
      <c r="R93" s="280"/>
      <c r="S93" s="280"/>
      <c r="T93" s="280">
        <f>12617.4+150.994+5783.52</f>
        <v>18551.914</v>
      </c>
      <c r="U93" s="276"/>
      <c r="V93" s="276">
        <f t="shared" si="13"/>
        <v>0.86434379955258</v>
      </c>
      <c r="W93" s="276"/>
      <c r="X93" s="281"/>
      <c r="Y93" s="281"/>
      <c r="Z93" s="281"/>
      <c r="AA93" s="152"/>
    </row>
    <row r="94" spans="1:27" s="78" customFormat="1" ht="24.75" customHeight="1">
      <c r="A94" s="288">
        <v>4</v>
      </c>
      <c r="B94" s="289" t="s">
        <v>34</v>
      </c>
      <c r="C94" s="272">
        <f t="shared" si="19"/>
        <v>64573.154</v>
      </c>
      <c r="D94" s="274">
        <v>64573.154</v>
      </c>
      <c r="E94" s="274"/>
      <c r="F94" s="274"/>
      <c r="G94" s="274"/>
      <c r="H94" s="274"/>
      <c r="I94" s="272">
        <f t="shared" si="22"/>
        <v>71297.332788</v>
      </c>
      <c r="J94" s="279">
        <v>69518.641788</v>
      </c>
      <c r="K94" s="279"/>
      <c r="L94" s="279"/>
      <c r="M94" s="279"/>
      <c r="N94" s="272">
        <f t="shared" si="21"/>
        <v>0</v>
      </c>
      <c r="O94" s="279"/>
      <c r="P94" s="279"/>
      <c r="Q94" s="272">
        <f t="shared" si="12"/>
        <v>1778.691</v>
      </c>
      <c r="R94" s="280"/>
      <c r="S94" s="280"/>
      <c r="T94" s="280">
        <f>199.475+238.422+1340.794</f>
        <v>1778.691</v>
      </c>
      <c r="U94" s="276"/>
      <c r="V94" s="276">
        <f t="shared" si="13"/>
        <v>1.0765873661367074</v>
      </c>
      <c r="W94" s="276"/>
      <c r="X94" s="281"/>
      <c r="Y94" s="281"/>
      <c r="Z94" s="281"/>
      <c r="AA94" s="152"/>
    </row>
    <row r="95" spans="1:27" s="78" customFormat="1" ht="24.75" customHeight="1">
      <c r="A95" s="288">
        <v>5</v>
      </c>
      <c r="B95" s="289" t="s">
        <v>35</v>
      </c>
      <c r="C95" s="272">
        <f t="shared" si="19"/>
        <v>80591.703</v>
      </c>
      <c r="D95" s="274">
        <v>80591.703</v>
      </c>
      <c r="E95" s="274"/>
      <c r="F95" s="274"/>
      <c r="G95" s="274"/>
      <c r="H95" s="274"/>
      <c r="I95" s="272">
        <f t="shared" si="22"/>
        <v>80405.99243</v>
      </c>
      <c r="J95" s="279">
        <v>78592.33183</v>
      </c>
      <c r="K95" s="279"/>
      <c r="L95" s="279"/>
      <c r="M95" s="279"/>
      <c r="N95" s="272">
        <f t="shared" si="21"/>
        <v>0</v>
      </c>
      <c r="O95" s="279"/>
      <c r="P95" s="279"/>
      <c r="Q95" s="272">
        <f t="shared" si="12"/>
        <v>1813.6606</v>
      </c>
      <c r="R95" s="280"/>
      <c r="S95" s="280"/>
      <c r="T95" s="280">
        <v>1813.6606</v>
      </c>
      <c r="U95" s="276"/>
      <c r="V95" s="276">
        <f t="shared" si="13"/>
        <v>0.975191352266126</v>
      </c>
      <c r="W95" s="276"/>
      <c r="X95" s="281"/>
      <c r="Y95" s="281"/>
      <c r="Z95" s="281"/>
      <c r="AA95" s="152"/>
    </row>
    <row r="96" spans="1:27" s="78" customFormat="1" ht="24.75" customHeight="1">
      <c r="A96" s="288">
        <v>6</v>
      </c>
      <c r="B96" s="289" t="s">
        <v>36</v>
      </c>
      <c r="C96" s="272">
        <f t="shared" si="19"/>
        <v>67792.978</v>
      </c>
      <c r="D96" s="274">
        <v>67792.978</v>
      </c>
      <c r="E96" s="274"/>
      <c r="F96" s="274"/>
      <c r="G96" s="274"/>
      <c r="H96" s="274"/>
      <c r="I96" s="272">
        <f t="shared" si="22"/>
        <v>64709.877567999996</v>
      </c>
      <c r="J96" s="279">
        <v>63187.4436</v>
      </c>
      <c r="K96" s="279"/>
      <c r="L96" s="279"/>
      <c r="M96" s="279"/>
      <c r="N96" s="272">
        <f t="shared" si="21"/>
        <v>0</v>
      </c>
      <c r="O96" s="279"/>
      <c r="P96" s="279"/>
      <c r="Q96" s="272">
        <f t="shared" si="12"/>
        <v>1522.433968</v>
      </c>
      <c r="R96" s="280"/>
      <c r="S96" s="280"/>
      <c r="T96" s="280">
        <f>18.074+69.056+933.088568+78.6084+423.607</f>
        <v>1522.433968</v>
      </c>
      <c r="U96" s="276"/>
      <c r="V96" s="276">
        <f t="shared" si="13"/>
        <v>0.9320647280017703</v>
      </c>
      <c r="W96" s="276"/>
      <c r="X96" s="281"/>
      <c r="Y96" s="281"/>
      <c r="Z96" s="281"/>
      <c r="AA96" s="152"/>
    </row>
    <row r="97" spans="1:27" s="78" customFormat="1" ht="24.75" customHeight="1">
      <c r="A97" s="288">
        <v>7</v>
      </c>
      <c r="B97" s="289" t="s">
        <v>37</v>
      </c>
      <c r="C97" s="272">
        <f t="shared" si="19"/>
        <v>97890.682643</v>
      </c>
      <c r="D97" s="274">
        <v>97890.682643</v>
      </c>
      <c r="E97" s="274"/>
      <c r="F97" s="274"/>
      <c r="G97" s="274"/>
      <c r="H97" s="274"/>
      <c r="I97" s="272">
        <f t="shared" si="22"/>
        <v>88447.083587</v>
      </c>
      <c r="J97" s="279">
        <v>77664.18653</v>
      </c>
      <c r="K97" s="279"/>
      <c r="L97" s="279"/>
      <c r="M97" s="279"/>
      <c r="N97" s="272">
        <f t="shared" si="21"/>
        <v>0</v>
      </c>
      <c r="O97" s="279"/>
      <c r="P97" s="279"/>
      <c r="Q97" s="272">
        <f t="shared" si="12"/>
        <v>10782.897057</v>
      </c>
      <c r="R97" s="280"/>
      <c r="S97" s="280"/>
      <c r="T97" s="280">
        <f>1096.1955+364.531897+9322.16966</f>
        <v>10782.897057</v>
      </c>
      <c r="U97" s="276"/>
      <c r="V97" s="276">
        <f t="shared" si="13"/>
        <v>0.7933766976907852</v>
      </c>
      <c r="W97" s="276"/>
      <c r="X97" s="281"/>
      <c r="Y97" s="281"/>
      <c r="Z97" s="281"/>
      <c r="AA97" s="152"/>
    </row>
    <row r="98" spans="1:27" s="78" customFormat="1" ht="24.75" customHeight="1">
      <c r="A98" s="288">
        <v>8</v>
      </c>
      <c r="B98" s="289" t="s">
        <v>385</v>
      </c>
      <c r="C98" s="272">
        <f t="shared" si="19"/>
        <v>177093.032577</v>
      </c>
      <c r="D98" s="274">
        <f>177043.032577+50</f>
        <v>177093.032577</v>
      </c>
      <c r="E98" s="274"/>
      <c r="F98" s="274"/>
      <c r="G98" s="274"/>
      <c r="H98" s="274"/>
      <c r="I98" s="272">
        <f t="shared" si="22"/>
        <v>196930.578292</v>
      </c>
      <c r="J98" s="279">
        <v>117391.550258</v>
      </c>
      <c r="K98" s="279"/>
      <c r="L98" s="279"/>
      <c r="M98" s="279"/>
      <c r="N98" s="272">
        <f t="shared" si="21"/>
        <v>0</v>
      </c>
      <c r="O98" s="279"/>
      <c r="P98" s="279"/>
      <c r="Q98" s="272">
        <f t="shared" si="12"/>
        <v>79539.028034</v>
      </c>
      <c r="R98" s="280"/>
      <c r="S98" s="280"/>
      <c r="T98" s="280">
        <f>6637.519864+72901.50817</f>
        <v>79539.028034</v>
      </c>
      <c r="U98" s="276"/>
      <c r="V98" s="276">
        <f t="shared" si="13"/>
        <v>0.6628806822592423</v>
      </c>
      <c r="W98" s="276"/>
      <c r="X98" s="281"/>
      <c r="Y98" s="281"/>
      <c r="Z98" s="281"/>
      <c r="AA98" s="152"/>
    </row>
    <row r="99" spans="1:27" s="78" customFormat="1" ht="24.75" customHeight="1">
      <c r="A99" s="288">
        <v>9</v>
      </c>
      <c r="B99" s="289" t="s">
        <v>39</v>
      </c>
      <c r="C99" s="272">
        <f t="shared" si="19"/>
        <v>1150</v>
      </c>
      <c r="D99" s="274">
        <v>1150</v>
      </c>
      <c r="E99" s="274"/>
      <c r="F99" s="274"/>
      <c r="G99" s="274"/>
      <c r="H99" s="274"/>
      <c r="I99" s="272">
        <f t="shared" si="22"/>
        <v>3377.804618</v>
      </c>
      <c r="J99" s="279">
        <v>3377.804618</v>
      </c>
      <c r="K99" s="279"/>
      <c r="L99" s="279"/>
      <c r="M99" s="279"/>
      <c r="N99" s="272">
        <f t="shared" si="21"/>
        <v>0</v>
      </c>
      <c r="O99" s="279"/>
      <c r="P99" s="279"/>
      <c r="Q99" s="272">
        <f t="shared" si="12"/>
        <v>0</v>
      </c>
      <c r="R99" s="280"/>
      <c r="S99" s="280"/>
      <c r="T99" s="280"/>
      <c r="U99" s="276"/>
      <c r="V99" s="276">
        <f t="shared" si="13"/>
        <v>2.937221406956522</v>
      </c>
      <c r="W99" s="276"/>
      <c r="X99" s="281"/>
      <c r="Y99" s="281"/>
      <c r="Z99" s="281"/>
      <c r="AA99" s="152"/>
    </row>
    <row r="100" spans="1:27" s="78" customFormat="1" ht="24.75" customHeight="1">
      <c r="A100" s="288">
        <v>10</v>
      </c>
      <c r="B100" s="289" t="s">
        <v>40</v>
      </c>
      <c r="C100" s="272">
        <f t="shared" si="19"/>
        <v>111558.357</v>
      </c>
      <c r="D100" s="274">
        <v>111558.357</v>
      </c>
      <c r="E100" s="274"/>
      <c r="F100" s="274"/>
      <c r="G100" s="274"/>
      <c r="H100" s="274"/>
      <c r="I100" s="272">
        <f t="shared" si="22"/>
        <v>93058.205198</v>
      </c>
      <c r="J100" s="279">
        <v>70632.741684</v>
      </c>
      <c r="K100" s="279"/>
      <c r="L100" s="279"/>
      <c r="M100" s="279"/>
      <c r="N100" s="272">
        <f t="shared" si="21"/>
        <v>0</v>
      </c>
      <c r="O100" s="279"/>
      <c r="P100" s="279"/>
      <c r="Q100" s="272">
        <f t="shared" si="12"/>
        <v>22425.463514</v>
      </c>
      <c r="R100" s="280"/>
      <c r="S100" s="280"/>
      <c r="T100" s="280">
        <f>2600+716.508094+19.699+4238.851551+118.354869+14732.05</f>
        <v>22425.463514</v>
      </c>
      <c r="U100" s="276"/>
      <c r="V100" s="276">
        <f t="shared" si="13"/>
        <v>0.6331461271341599</v>
      </c>
      <c r="W100" s="276"/>
      <c r="X100" s="281"/>
      <c r="Y100" s="281"/>
      <c r="Z100" s="281"/>
      <c r="AA100" s="152"/>
    </row>
    <row r="101" spans="1:27" s="146" customFormat="1" ht="24.75" customHeight="1">
      <c r="A101" s="290"/>
      <c r="B101" s="291"/>
      <c r="C101" s="292"/>
      <c r="D101" s="293"/>
      <c r="E101" s="293"/>
      <c r="F101" s="293"/>
      <c r="G101" s="293"/>
      <c r="H101" s="293"/>
      <c r="I101" s="294"/>
      <c r="J101" s="294"/>
      <c r="K101" s="294"/>
      <c r="L101" s="294"/>
      <c r="M101" s="294"/>
      <c r="N101" s="294"/>
      <c r="O101" s="294"/>
      <c r="P101" s="294"/>
      <c r="Q101" s="294"/>
      <c r="R101" s="292"/>
      <c r="S101" s="292"/>
      <c r="T101" s="292"/>
      <c r="U101" s="295"/>
      <c r="V101" s="295"/>
      <c r="W101" s="295"/>
      <c r="X101" s="296"/>
      <c r="Y101" s="296"/>
      <c r="Z101" s="296"/>
      <c r="AA101" s="156"/>
    </row>
    <row r="102" spans="1:26" ht="12.75">
      <c r="A102" s="297"/>
      <c r="B102" s="297"/>
      <c r="C102" s="297"/>
      <c r="D102" s="298"/>
      <c r="E102" s="298"/>
      <c r="F102" s="298"/>
      <c r="G102" s="298"/>
      <c r="H102" s="298"/>
      <c r="I102" s="297"/>
      <c r="J102" s="297"/>
      <c r="K102" s="297"/>
      <c r="L102" s="297"/>
      <c r="M102" s="297"/>
      <c r="N102" s="297"/>
      <c r="O102" s="297"/>
      <c r="P102" s="297"/>
      <c r="Q102" s="297"/>
      <c r="R102" s="297"/>
      <c r="S102" s="297"/>
      <c r="T102" s="297"/>
      <c r="U102" s="297"/>
      <c r="V102" s="297"/>
      <c r="W102" s="297"/>
      <c r="X102" s="297"/>
      <c r="Y102" s="297"/>
      <c r="Z102" s="297"/>
    </row>
  </sheetData>
  <sheetProtection/>
  <mergeCells count="32">
    <mergeCell ref="L6:L7"/>
    <mergeCell ref="C6:C7"/>
    <mergeCell ref="AA5:AA6"/>
    <mergeCell ref="C5:H5"/>
    <mergeCell ref="H6:H7"/>
    <mergeCell ref="V6:V7"/>
    <mergeCell ref="Y6:Y7"/>
    <mergeCell ref="J6:J7"/>
    <mergeCell ref="T6:T7"/>
    <mergeCell ref="W6:W7"/>
    <mergeCell ref="S6:S7"/>
    <mergeCell ref="U6:U7"/>
    <mergeCell ref="X1:Z1"/>
    <mergeCell ref="K6:K7"/>
    <mergeCell ref="Q6:Q7"/>
    <mergeCell ref="N6:P6"/>
    <mergeCell ref="A3:Z3"/>
    <mergeCell ref="X4:Z4"/>
    <mergeCell ref="U5:Z5"/>
    <mergeCell ref="I6:I7"/>
    <mergeCell ref="I5:Q5"/>
    <mergeCell ref="D6:D7"/>
    <mergeCell ref="A2:Z2"/>
    <mergeCell ref="M6:M7"/>
    <mergeCell ref="F6:F7"/>
    <mergeCell ref="G6:G7"/>
    <mergeCell ref="A5:A7"/>
    <mergeCell ref="E6:E7"/>
    <mergeCell ref="B5:B7"/>
    <mergeCell ref="R6:R7"/>
    <mergeCell ref="X6:X7"/>
    <mergeCell ref="Z6:Z7"/>
  </mergeCells>
  <printOptions horizontalCentered="1"/>
  <pageMargins left="0" right="0" top="0.7086614173228347" bottom="0" header="0.31496062992125984" footer="0.31496062992125984"/>
  <pageSetup horizontalDpi="600" verticalDpi="600" orientation="landscape" paperSize="8" scale="75"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A1:Z33"/>
  <sheetViews>
    <sheetView zoomScale="75" zoomScaleNormal="75" zoomScalePageLayoutView="0" workbookViewId="0" topLeftCell="A1">
      <selection activeCell="N4" sqref="N4"/>
    </sheetView>
  </sheetViews>
  <sheetFormatPr defaultColWidth="9.140625" defaultRowHeight="15"/>
  <cols>
    <col min="1" max="1" width="4.00390625" style="207" customWidth="1"/>
    <col min="2" max="2" width="15.421875" style="207" customWidth="1"/>
    <col min="3" max="3" width="8.28125" style="208" customWidth="1"/>
    <col min="4" max="4" width="7.28125" style="208" customWidth="1"/>
    <col min="5" max="5" width="8.7109375" style="208" customWidth="1"/>
    <col min="6" max="6" width="8.7109375" style="209" customWidth="1"/>
    <col min="7" max="7" width="6.8515625" style="209" customWidth="1"/>
    <col min="8" max="8" width="11.28125" style="46" customWidth="1"/>
    <col min="9" max="9" width="8.421875" style="210" customWidth="1"/>
    <col min="10" max="10" width="11.140625" style="210" customWidth="1"/>
    <col min="11" max="11" width="11.00390625" style="46" customWidth="1"/>
    <col min="12" max="12" width="8.00390625" style="46" customWidth="1"/>
    <col min="13" max="13" width="9.8515625" style="210" customWidth="1"/>
    <col min="14" max="14" width="9.8515625" style="46" customWidth="1"/>
    <col min="15" max="15" width="10.421875" style="46" customWidth="1"/>
    <col min="16" max="16" width="9.57421875" style="210" customWidth="1"/>
    <col min="17" max="17" width="8.421875" style="46" customWidth="1"/>
    <col min="18" max="18" width="8.7109375" style="46" customWidth="1"/>
    <col min="19" max="19" width="9.28125" style="210" customWidth="1"/>
    <col min="20" max="20" width="9.7109375" style="210" customWidth="1"/>
    <col min="21" max="22" width="6.28125" style="211" customWidth="1"/>
    <col min="23" max="23" width="7.00390625" style="211" customWidth="1"/>
    <col min="24" max="25" width="7.421875" style="217" customWidth="1"/>
    <col min="26" max="16384" width="9.140625" style="207" customWidth="1"/>
  </cols>
  <sheetData>
    <row r="1" spans="23:25" ht="21" customHeight="1">
      <c r="W1" s="418" t="s">
        <v>124</v>
      </c>
      <c r="X1" s="418"/>
      <c r="Y1" s="418"/>
    </row>
    <row r="2" spans="1:25" ht="33.75" customHeight="1">
      <c r="A2" s="404" t="s">
        <v>308</v>
      </c>
      <c r="B2" s="404"/>
      <c r="C2" s="404"/>
      <c r="D2" s="404"/>
      <c r="E2" s="404"/>
      <c r="F2" s="404"/>
      <c r="G2" s="404"/>
      <c r="H2" s="404"/>
      <c r="I2" s="404"/>
      <c r="J2" s="404"/>
      <c r="K2" s="404"/>
      <c r="L2" s="404"/>
      <c r="M2" s="404"/>
      <c r="N2" s="404"/>
      <c r="O2" s="404"/>
      <c r="P2" s="404"/>
      <c r="Q2" s="404"/>
      <c r="R2" s="404"/>
      <c r="S2" s="404"/>
      <c r="T2" s="404"/>
      <c r="U2" s="404"/>
      <c r="V2" s="404"/>
      <c r="W2" s="404"/>
      <c r="X2" s="404"/>
      <c r="Y2" s="404"/>
    </row>
    <row r="3" spans="1:26" ht="36.75" customHeight="1">
      <c r="A3" s="401" t="s">
        <v>435</v>
      </c>
      <c r="B3" s="401"/>
      <c r="C3" s="401"/>
      <c r="D3" s="401"/>
      <c r="E3" s="401"/>
      <c r="F3" s="401"/>
      <c r="G3" s="401"/>
      <c r="H3" s="401"/>
      <c r="I3" s="401"/>
      <c r="J3" s="401"/>
      <c r="K3" s="401"/>
      <c r="L3" s="401"/>
      <c r="M3" s="401"/>
      <c r="N3" s="401"/>
      <c r="O3" s="401"/>
      <c r="P3" s="401"/>
      <c r="Q3" s="401"/>
      <c r="R3" s="401"/>
      <c r="S3" s="401"/>
      <c r="T3" s="401"/>
      <c r="U3" s="401"/>
      <c r="V3" s="401"/>
      <c r="W3" s="401"/>
      <c r="X3" s="401"/>
      <c r="Y3" s="401"/>
      <c r="Z3" s="212"/>
    </row>
    <row r="4" spans="1:25" ht="21.75" customHeight="1">
      <c r="A4" s="401"/>
      <c r="B4" s="401"/>
      <c r="C4" s="401"/>
      <c r="D4" s="401"/>
      <c r="E4" s="401"/>
      <c r="F4" s="401"/>
      <c r="G4" s="401"/>
      <c r="H4" s="401"/>
      <c r="I4" s="401"/>
      <c r="J4" s="401"/>
      <c r="K4" s="401"/>
      <c r="W4" s="409" t="s">
        <v>305</v>
      </c>
      <c r="X4" s="409"/>
      <c r="Y4" s="409"/>
    </row>
    <row r="5" spans="1:25" s="213" customFormat="1" ht="33.75" customHeight="1">
      <c r="A5" s="417" t="s">
        <v>389</v>
      </c>
      <c r="B5" s="417" t="s">
        <v>12</v>
      </c>
      <c r="C5" s="403" t="s">
        <v>116</v>
      </c>
      <c r="D5" s="403"/>
      <c r="E5" s="403"/>
      <c r="F5" s="403"/>
      <c r="G5" s="403"/>
      <c r="H5" s="402" t="s">
        <v>208</v>
      </c>
      <c r="I5" s="402"/>
      <c r="J5" s="402"/>
      <c r="K5" s="402"/>
      <c r="L5" s="402"/>
      <c r="M5" s="402"/>
      <c r="N5" s="402"/>
      <c r="O5" s="402"/>
      <c r="P5" s="402"/>
      <c r="Q5" s="402"/>
      <c r="R5" s="402"/>
      <c r="S5" s="402"/>
      <c r="T5" s="402"/>
      <c r="U5" s="410" t="s">
        <v>274</v>
      </c>
      <c r="V5" s="410"/>
      <c r="W5" s="410"/>
      <c r="X5" s="410"/>
      <c r="Y5" s="410"/>
    </row>
    <row r="6" spans="1:25" s="213" customFormat="1" ht="27.75" customHeight="1">
      <c r="A6" s="417"/>
      <c r="B6" s="417"/>
      <c r="C6" s="403" t="s">
        <v>335</v>
      </c>
      <c r="D6" s="403" t="s">
        <v>272</v>
      </c>
      <c r="E6" s="411" t="s">
        <v>94</v>
      </c>
      <c r="F6" s="405" t="s">
        <v>340</v>
      </c>
      <c r="G6" s="406"/>
      <c r="H6" s="402" t="s">
        <v>335</v>
      </c>
      <c r="I6" s="414" t="s">
        <v>272</v>
      </c>
      <c r="J6" s="402" t="s">
        <v>94</v>
      </c>
      <c r="K6" s="402"/>
      <c r="L6" s="402"/>
      <c r="M6" s="402" t="s">
        <v>217</v>
      </c>
      <c r="N6" s="402"/>
      <c r="O6" s="402"/>
      <c r="P6" s="402" t="s">
        <v>201</v>
      </c>
      <c r="Q6" s="402"/>
      <c r="R6" s="402"/>
      <c r="S6" s="414" t="s">
        <v>145</v>
      </c>
      <c r="T6" s="402" t="s">
        <v>143</v>
      </c>
      <c r="U6" s="410" t="s">
        <v>335</v>
      </c>
      <c r="V6" s="410" t="s">
        <v>272</v>
      </c>
      <c r="W6" s="419" t="s">
        <v>94</v>
      </c>
      <c r="X6" s="422" t="s">
        <v>340</v>
      </c>
      <c r="Y6" s="423"/>
    </row>
    <row r="7" spans="1:25" s="213" customFormat="1" ht="34.5" customHeight="1">
      <c r="A7" s="417"/>
      <c r="B7" s="417"/>
      <c r="C7" s="403"/>
      <c r="D7" s="403"/>
      <c r="E7" s="412"/>
      <c r="F7" s="407"/>
      <c r="G7" s="408"/>
      <c r="H7" s="402"/>
      <c r="I7" s="415"/>
      <c r="J7" s="402" t="s">
        <v>335</v>
      </c>
      <c r="K7" s="402" t="s">
        <v>340</v>
      </c>
      <c r="L7" s="402"/>
      <c r="M7" s="402" t="s">
        <v>335</v>
      </c>
      <c r="N7" s="402" t="s">
        <v>340</v>
      </c>
      <c r="O7" s="402"/>
      <c r="P7" s="402" t="s">
        <v>335</v>
      </c>
      <c r="Q7" s="402" t="s">
        <v>340</v>
      </c>
      <c r="R7" s="402"/>
      <c r="S7" s="415"/>
      <c r="T7" s="402"/>
      <c r="U7" s="410"/>
      <c r="V7" s="410"/>
      <c r="W7" s="420"/>
      <c r="X7" s="424"/>
      <c r="Y7" s="425"/>
    </row>
    <row r="8" spans="1:25" s="213" customFormat="1" ht="80.25" customHeight="1">
      <c r="A8" s="417"/>
      <c r="B8" s="417"/>
      <c r="C8" s="403"/>
      <c r="D8" s="403"/>
      <c r="E8" s="413"/>
      <c r="F8" s="76" t="s">
        <v>218</v>
      </c>
      <c r="G8" s="76" t="s">
        <v>123</v>
      </c>
      <c r="H8" s="402"/>
      <c r="I8" s="416"/>
      <c r="J8" s="402"/>
      <c r="K8" s="301" t="s">
        <v>218</v>
      </c>
      <c r="L8" s="301" t="s">
        <v>123</v>
      </c>
      <c r="M8" s="402"/>
      <c r="N8" s="301" t="s">
        <v>313</v>
      </c>
      <c r="O8" s="301" t="s">
        <v>94</v>
      </c>
      <c r="P8" s="402"/>
      <c r="Q8" s="301" t="s">
        <v>312</v>
      </c>
      <c r="R8" s="301" t="s">
        <v>94</v>
      </c>
      <c r="S8" s="416"/>
      <c r="T8" s="402"/>
      <c r="U8" s="410"/>
      <c r="V8" s="410"/>
      <c r="W8" s="421"/>
      <c r="X8" s="302" t="s">
        <v>218</v>
      </c>
      <c r="Y8" s="302" t="s">
        <v>168</v>
      </c>
    </row>
    <row r="9" spans="1:25" s="213" customFormat="1" ht="22.5" customHeight="1">
      <c r="A9" s="252" t="s">
        <v>83</v>
      </c>
      <c r="B9" s="252" t="s">
        <v>84</v>
      </c>
      <c r="C9" s="254">
        <v>1</v>
      </c>
      <c r="D9" s="254">
        <v>2</v>
      </c>
      <c r="E9" s="254">
        <v>3</v>
      </c>
      <c r="F9" s="254">
        <v>4</v>
      </c>
      <c r="G9" s="254">
        <v>5</v>
      </c>
      <c r="H9" s="254">
        <v>6</v>
      </c>
      <c r="I9" s="254">
        <v>7</v>
      </c>
      <c r="J9" s="254">
        <v>8</v>
      </c>
      <c r="K9" s="254">
        <v>9</v>
      </c>
      <c r="L9" s="254">
        <v>10</v>
      </c>
      <c r="M9" s="254" t="s">
        <v>100</v>
      </c>
      <c r="N9" s="254">
        <v>12</v>
      </c>
      <c r="O9" s="254">
        <v>13</v>
      </c>
      <c r="P9" s="254" t="s">
        <v>202</v>
      </c>
      <c r="Q9" s="254">
        <v>15</v>
      </c>
      <c r="R9" s="254">
        <v>16</v>
      </c>
      <c r="S9" s="254">
        <v>17</v>
      </c>
      <c r="T9" s="254">
        <v>18</v>
      </c>
      <c r="U9" s="318" t="s">
        <v>203</v>
      </c>
      <c r="V9" s="318" t="s">
        <v>204</v>
      </c>
      <c r="W9" s="318" t="s">
        <v>205</v>
      </c>
      <c r="X9" s="318" t="s">
        <v>206</v>
      </c>
      <c r="Y9" s="318" t="s">
        <v>311</v>
      </c>
    </row>
    <row r="10" spans="1:25" s="214" customFormat="1" ht="36" customHeight="1">
      <c r="A10" s="305"/>
      <c r="B10" s="305" t="s">
        <v>336</v>
      </c>
      <c r="C10" s="306">
        <f aca="true" t="shared" si="0" ref="C10:H10">SUM(C11:C20)</f>
        <v>5065404</v>
      </c>
      <c r="D10" s="306">
        <f t="shared" si="0"/>
        <v>495964</v>
      </c>
      <c r="E10" s="306">
        <f t="shared" si="0"/>
        <v>4569440</v>
      </c>
      <c r="F10" s="306">
        <f t="shared" si="0"/>
        <v>2565246</v>
      </c>
      <c r="G10" s="306">
        <f t="shared" si="0"/>
        <v>2550</v>
      </c>
      <c r="H10" s="307">
        <f t="shared" si="0"/>
        <v>5993737.461342999</v>
      </c>
      <c r="I10" s="307">
        <f aca="true" t="shared" si="1" ref="I10:R10">SUM(I11:I20)</f>
        <v>99342.379687</v>
      </c>
      <c r="J10" s="307">
        <f t="shared" si="1"/>
        <v>4589351.841793999</v>
      </c>
      <c r="K10" s="307">
        <f t="shared" si="1"/>
        <v>2671886.266601</v>
      </c>
      <c r="L10" s="307">
        <f t="shared" si="1"/>
        <v>2877.3552720000002</v>
      </c>
      <c r="M10" s="307">
        <f t="shared" si="1"/>
        <v>584877.242262</v>
      </c>
      <c r="N10" s="307">
        <f t="shared" si="1"/>
        <v>424243.6875490001</v>
      </c>
      <c r="O10" s="307">
        <f t="shared" si="1"/>
        <v>160633.55471300002</v>
      </c>
      <c r="P10" s="307">
        <f t="shared" si="1"/>
        <v>131693.756126</v>
      </c>
      <c r="Q10" s="307">
        <f t="shared" si="1"/>
        <v>87305.73482499999</v>
      </c>
      <c r="R10" s="307">
        <f t="shared" si="1"/>
        <v>44388.021301</v>
      </c>
      <c r="S10" s="307">
        <f>SUM(S11:S20)</f>
        <v>139142.660572</v>
      </c>
      <c r="T10" s="307">
        <f>SUM(T11:T20)</f>
        <v>449329.58090199996</v>
      </c>
      <c r="U10" s="308">
        <f>H10/C10</f>
        <v>1.1832693821347713</v>
      </c>
      <c r="V10" s="308">
        <f>I10/D10</f>
        <v>0.20030159383947221</v>
      </c>
      <c r="W10" s="308">
        <f>J10/E10</f>
        <v>1.004357610953202</v>
      </c>
      <c r="X10" s="308">
        <f>K10/F10</f>
        <v>1.041571165728745</v>
      </c>
      <c r="Y10" s="308">
        <f>L10/G10</f>
        <v>1.1283746164705883</v>
      </c>
    </row>
    <row r="11" spans="1:25" s="215" customFormat="1" ht="30" customHeight="1">
      <c r="A11" s="309">
        <v>1</v>
      </c>
      <c r="B11" s="309" t="s">
        <v>33</v>
      </c>
      <c r="C11" s="310">
        <f>D11+E11</f>
        <v>866860</v>
      </c>
      <c r="D11" s="310">
        <f>16000+17098+23370</f>
        <v>56468</v>
      </c>
      <c r="E11" s="310">
        <f>767173+6080+15428+6231+15480</f>
        <v>810392</v>
      </c>
      <c r="F11" s="310">
        <v>488546</v>
      </c>
      <c r="G11" s="310">
        <v>500</v>
      </c>
      <c r="H11" s="311">
        <f>I11+J11+M11+P11+T11+S11</f>
        <v>996009.189209</v>
      </c>
      <c r="I11" s="311">
        <v>18242.891696</v>
      </c>
      <c r="J11" s="311">
        <v>817478.880821</v>
      </c>
      <c r="K11" s="311">
        <v>511239.896521</v>
      </c>
      <c r="L11" s="311">
        <v>513.002441</v>
      </c>
      <c r="M11" s="311">
        <f>N11+O11</f>
        <v>54640.67434500001</v>
      </c>
      <c r="N11" s="311">
        <v>33543.960247</v>
      </c>
      <c r="O11" s="311">
        <v>21096.714098</v>
      </c>
      <c r="P11" s="311">
        <f>Q11+R11</f>
        <v>21111.118351999998</v>
      </c>
      <c r="Q11" s="311">
        <v>7260</v>
      </c>
      <c r="R11" s="311">
        <v>13851.118352</v>
      </c>
      <c r="S11" s="311">
        <v>42156.90852</v>
      </c>
      <c r="T11" s="311">
        <v>42378.715475</v>
      </c>
      <c r="U11" s="312">
        <f aca="true" t="shared" si="2" ref="U11:Y20">H11/C11</f>
        <v>1.1489850601123595</v>
      </c>
      <c r="V11" s="312">
        <f t="shared" si="2"/>
        <v>0.3230660143089891</v>
      </c>
      <c r="W11" s="312">
        <f t="shared" si="2"/>
        <v>1.0087450034316725</v>
      </c>
      <c r="X11" s="312">
        <f t="shared" si="2"/>
        <v>1.046451913475906</v>
      </c>
      <c r="Y11" s="312">
        <f>L11/G11</f>
        <v>1.026004882</v>
      </c>
    </row>
    <row r="12" spans="1:25" s="215" customFormat="1" ht="30" customHeight="1">
      <c r="A12" s="309">
        <v>2</v>
      </c>
      <c r="B12" s="309" t="s">
        <v>31</v>
      </c>
      <c r="C12" s="310">
        <f>D12+E12</f>
        <v>673098</v>
      </c>
      <c r="D12" s="310">
        <f>14400+33251+24300+2518</f>
        <v>74469</v>
      </c>
      <c r="E12" s="310">
        <f>560214+11388+6777+8895+11355</f>
        <v>598629</v>
      </c>
      <c r="F12" s="310">
        <v>349542</v>
      </c>
      <c r="G12" s="310">
        <v>500</v>
      </c>
      <c r="H12" s="311">
        <f>I12+J12+M12+P12+S12+T12</f>
        <v>770488.774343</v>
      </c>
      <c r="I12" s="311">
        <v>14050.7316</v>
      </c>
      <c r="J12" s="311">
        <v>594716.226647</v>
      </c>
      <c r="K12" s="311">
        <v>362316.403876</v>
      </c>
      <c r="L12" s="311">
        <v>492.763031</v>
      </c>
      <c r="M12" s="311">
        <f>N12+O12</f>
        <v>79288.479531</v>
      </c>
      <c r="N12" s="311">
        <v>63617.0345</v>
      </c>
      <c r="O12" s="311">
        <v>15671.445031</v>
      </c>
      <c r="P12" s="311">
        <f>Q12+R12</f>
        <v>22733.974425</v>
      </c>
      <c r="Q12" s="311">
        <v>12897.442485</v>
      </c>
      <c r="R12" s="311">
        <v>9836.53194</v>
      </c>
      <c r="S12" s="311">
        <v>6283.457625</v>
      </c>
      <c r="T12" s="311">
        <v>53415.904515</v>
      </c>
      <c r="U12" s="312">
        <f t="shared" si="2"/>
        <v>1.1446903338637167</v>
      </c>
      <c r="V12" s="312">
        <f t="shared" si="2"/>
        <v>0.1886789348588003</v>
      </c>
      <c r="W12" s="312">
        <f t="shared" si="2"/>
        <v>0.99346377580605</v>
      </c>
      <c r="X12" s="312">
        <f t="shared" si="2"/>
        <v>1.0365461199970247</v>
      </c>
      <c r="Y12" s="312">
        <f>L12/G12</f>
        <v>0.985526062</v>
      </c>
    </row>
    <row r="13" spans="1:25" s="215" customFormat="1" ht="30" customHeight="1">
      <c r="A13" s="309">
        <v>3</v>
      </c>
      <c r="B13" s="309" t="s">
        <v>32</v>
      </c>
      <c r="C13" s="310">
        <f aca="true" t="shared" si="3" ref="C13:C20">D13+E13</f>
        <v>389004</v>
      </c>
      <c r="D13" s="310">
        <f>29854+12300</f>
        <v>42154</v>
      </c>
      <c r="E13" s="310">
        <f>318889+6122+15438+3991+2410</f>
        <v>346850</v>
      </c>
      <c r="F13" s="310">
        <v>187800</v>
      </c>
      <c r="G13" s="310">
        <v>150</v>
      </c>
      <c r="H13" s="311">
        <f aca="true" t="shared" si="4" ref="H13:H20">I13+J13+M13+P13+S13+T13</f>
        <v>493422.547386</v>
      </c>
      <c r="I13" s="311">
        <v>1699.9971</v>
      </c>
      <c r="J13" s="311">
        <v>355856.069784</v>
      </c>
      <c r="K13" s="311">
        <v>199843.746056</v>
      </c>
      <c r="L13" s="311">
        <v>260</v>
      </c>
      <c r="M13" s="311">
        <f aca="true" t="shared" si="5" ref="M13:M20">N13+O13</f>
        <v>63703.136912999995</v>
      </c>
      <c r="N13" s="311">
        <v>45292.100297</v>
      </c>
      <c r="O13" s="311">
        <v>18411.036616</v>
      </c>
      <c r="P13" s="311">
        <f aca="true" t="shared" si="6" ref="P13:P20">Q13+R13</f>
        <v>20431.814693</v>
      </c>
      <c r="Q13" s="311">
        <v>13414.657705</v>
      </c>
      <c r="R13" s="311">
        <v>7017.156988</v>
      </c>
      <c r="S13" s="311">
        <v>20701.863765</v>
      </c>
      <c r="T13" s="311">
        <v>31029.665131</v>
      </c>
      <c r="U13" s="312">
        <f t="shared" si="2"/>
        <v>1.2684253822222908</v>
      </c>
      <c r="V13" s="312">
        <f t="shared" si="2"/>
        <v>0.04032825117426579</v>
      </c>
      <c r="W13" s="312">
        <f t="shared" si="2"/>
        <v>1.0259653157964537</v>
      </c>
      <c r="X13" s="312">
        <f t="shared" si="2"/>
        <v>1.064130703173589</v>
      </c>
      <c r="Y13" s="312">
        <f>L13/G13</f>
        <v>1.7333333333333334</v>
      </c>
    </row>
    <row r="14" spans="1:25" s="215" customFormat="1" ht="30" customHeight="1">
      <c r="A14" s="309">
        <v>4</v>
      </c>
      <c r="B14" s="309" t="s">
        <v>34</v>
      </c>
      <c r="C14" s="310">
        <f t="shared" si="3"/>
        <v>470358</v>
      </c>
      <c r="D14" s="310">
        <f>1000+27118+13500</f>
        <v>41618</v>
      </c>
      <c r="E14" s="310">
        <f>401005+7709+4741+7181+8104</f>
        <v>428740</v>
      </c>
      <c r="F14" s="310">
        <v>261944</v>
      </c>
      <c r="G14" s="310">
        <v>150</v>
      </c>
      <c r="H14" s="311">
        <f t="shared" si="4"/>
        <v>538446.020303</v>
      </c>
      <c r="I14" s="311">
        <v>5447.9167</v>
      </c>
      <c r="J14" s="311">
        <v>440651.320974</v>
      </c>
      <c r="K14" s="311">
        <v>271746.772</v>
      </c>
      <c r="L14" s="311">
        <v>150</v>
      </c>
      <c r="M14" s="311">
        <f t="shared" si="5"/>
        <v>62455.504344</v>
      </c>
      <c r="N14" s="311">
        <v>50607.318244</v>
      </c>
      <c r="O14" s="311">
        <v>11848.1861</v>
      </c>
      <c r="P14" s="311">
        <f t="shared" si="6"/>
        <v>11133.49034</v>
      </c>
      <c r="Q14" s="311">
        <v>9592.80034</v>
      </c>
      <c r="R14" s="311">
        <v>1540.69</v>
      </c>
      <c r="S14" s="311">
        <v>1830.230123</v>
      </c>
      <c r="T14" s="311">
        <v>16927.557822</v>
      </c>
      <c r="U14" s="312">
        <f t="shared" si="2"/>
        <v>1.1447578659297812</v>
      </c>
      <c r="V14" s="312">
        <f t="shared" si="2"/>
        <v>0.13090289538180594</v>
      </c>
      <c r="W14" s="312">
        <f t="shared" si="2"/>
        <v>1.0277821546251806</v>
      </c>
      <c r="X14" s="312">
        <f t="shared" si="2"/>
        <v>1.0374231591485203</v>
      </c>
      <c r="Y14" s="312">
        <f>L14/G14</f>
        <v>1</v>
      </c>
    </row>
    <row r="15" spans="1:25" s="215" customFormat="1" ht="30" customHeight="1">
      <c r="A15" s="309">
        <v>5</v>
      </c>
      <c r="B15" s="309" t="s">
        <v>35</v>
      </c>
      <c r="C15" s="310">
        <f t="shared" si="3"/>
        <v>457513</v>
      </c>
      <c r="D15" s="310">
        <f>500+33841+13800+5000</f>
        <v>53141</v>
      </c>
      <c r="E15" s="310">
        <f>364860+6871+16939+4618+11084</f>
        <v>404372</v>
      </c>
      <c r="F15" s="310">
        <v>217325</v>
      </c>
      <c r="G15" s="310">
        <v>150</v>
      </c>
      <c r="H15" s="311">
        <f t="shared" si="4"/>
        <v>532062.220335</v>
      </c>
      <c r="I15" s="311">
        <v>6353.411374</v>
      </c>
      <c r="J15" s="311">
        <v>393806.234055</v>
      </c>
      <c r="K15" s="311">
        <v>223247.110176</v>
      </c>
      <c r="L15" s="311">
        <v>239.9898</v>
      </c>
      <c r="M15" s="311">
        <f t="shared" si="5"/>
        <v>82090.088565</v>
      </c>
      <c r="N15" s="311">
        <v>61078.083515</v>
      </c>
      <c r="O15" s="311">
        <v>21012.00505</v>
      </c>
      <c r="P15" s="311">
        <f t="shared" si="6"/>
        <v>22898.443155</v>
      </c>
      <c r="Q15" s="311">
        <v>22253.093426</v>
      </c>
      <c r="R15" s="311">
        <v>645.349729</v>
      </c>
      <c r="S15" s="311">
        <v>9118.249422</v>
      </c>
      <c r="T15" s="311">
        <v>17795.793764</v>
      </c>
      <c r="U15" s="312">
        <f t="shared" si="2"/>
        <v>1.1629444853698145</v>
      </c>
      <c r="V15" s="312">
        <f t="shared" si="2"/>
        <v>0.1195576179221317</v>
      </c>
      <c r="W15" s="312">
        <f t="shared" si="2"/>
        <v>0.9738711732142681</v>
      </c>
      <c r="X15" s="312">
        <f t="shared" si="2"/>
        <v>1.0272500180651098</v>
      </c>
      <c r="Y15" s="312">
        <f t="shared" si="2"/>
        <v>1.599932</v>
      </c>
    </row>
    <row r="16" spans="1:25" s="215" customFormat="1" ht="30" customHeight="1">
      <c r="A16" s="309">
        <v>6</v>
      </c>
      <c r="B16" s="309" t="s">
        <v>36</v>
      </c>
      <c r="C16" s="310">
        <f t="shared" si="3"/>
        <v>492701</v>
      </c>
      <c r="D16" s="310">
        <f>3000+33470+15300</f>
        <v>51770</v>
      </c>
      <c r="E16" s="310">
        <f>406119+7814+17584+8427+987</f>
        <v>440931</v>
      </c>
      <c r="F16" s="310">
        <v>246400</v>
      </c>
      <c r="G16" s="310">
        <v>150</v>
      </c>
      <c r="H16" s="311">
        <f t="shared" si="4"/>
        <v>641345.3101499998</v>
      </c>
      <c r="I16" s="311">
        <v>4881.995514</v>
      </c>
      <c r="J16" s="311">
        <v>448482.067512</v>
      </c>
      <c r="K16" s="311">
        <v>257299.330896</v>
      </c>
      <c r="L16" s="311">
        <v>55</v>
      </c>
      <c r="M16" s="311">
        <f t="shared" si="5"/>
        <v>95895.73671299999</v>
      </c>
      <c r="N16" s="311">
        <v>71493.10604</v>
      </c>
      <c r="O16" s="311">
        <v>24402.630673</v>
      </c>
      <c r="P16" s="311">
        <f t="shared" si="6"/>
        <v>1428.3701</v>
      </c>
      <c r="Q16" s="311">
        <v>160</v>
      </c>
      <c r="R16" s="311">
        <v>1268.3701</v>
      </c>
      <c r="S16" s="311">
        <v>18526.397504</v>
      </c>
      <c r="T16" s="311">
        <v>72130.742807</v>
      </c>
      <c r="U16" s="312">
        <f t="shared" si="2"/>
        <v>1.3016927307839843</v>
      </c>
      <c r="V16" s="312">
        <f t="shared" si="2"/>
        <v>0.094301632489859</v>
      </c>
      <c r="W16" s="312">
        <f t="shared" si="2"/>
        <v>1.0171252815338454</v>
      </c>
      <c r="X16" s="312">
        <f t="shared" si="2"/>
        <v>1.0442342974675325</v>
      </c>
      <c r="Y16" s="312">
        <f t="shared" si="2"/>
        <v>0.36666666666666664</v>
      </c>
    </row>
    <row r="17" spans="1:25" s="215" customFormat="1" ht="30" customHeight="1">
      <c r="A17" s="309">
        <v>7</v>
      </c>
      <c r="B17" s="319" t="s">
        <v>37</v>
      </c>
      <c r="C17" s="310">
        <f t="shared" si="3"/>
        <v>597614</v>
      </c>
      <c r="D17" s="310">
        <f>2500+37268+16200+4000</f>
        <v>59968</v>
      </c>
      <c r="E17" s="310">
        <f>486309+9508+18165+6579+17085</f>
        <v>537646</v>
      </c>
      <c r="F17" s="310">
        <v>305734</v>
      </c>
      <c r="G17" s="310">
        <v>150</v>
      </c>
      <c r="H17" s="311">
        <f t="shared" si="4"/>
        <v>692819.135195</v>
      </c>
      <c r="I17" s="311">
        <v>4336.519861</v>
      </c>
      <c r="J17" s="311">
        <v>523473.96824</v>
      </c>
      <c r="K17" s="311">
        <v>314638.536021</v>
      </c>
      <c r="L17" s="311">
        <v>292</v>
      </c>
      <c r="M17" s="311">
        <f t="shared" si="5"/>
        <v>75026.569705</v>
      </c>
      <c r="N17" s="311">
        <v>50945.083165</v>
      </c>
      <c r="O17" s="311">
        <v>24081.48654</v>
      </c>
      <c r="P17" s="311">
        <f t="shared" si="6"/>
        <v>28561.769581</v>
      </c>
      <c r="Q17" s="311">
        <v>20127.740869</v>
      </c>
      <c r="R17" s="311">
        <v>8434.028712</v>
      </c>
      <c r="S17" s="311">
        <v>13438.419906</v>
      </c>
      <c r="T17" s="311">
        <v>47981.887902</v>
      </c>
      <c r="U17" s="312">
        <f t="shared" si="2"/>
        <v>1.159308743093368</v>
      </c>
      <c r="V17" s="312">
        <f>I17/D17</f>
        <v>0.07231389842916222</v>
      </c>
      <c r="W17" s="312">
        <f t="shared" si="2"/>
        <v>0.9736405892352962</v>
      </c>
      <c r="X17" s="312">
        <f t="shared" si="2"/>
        <v>1.0291251088233562</v>
      </c>
      <c r="Y17" s="312">
        <f t="shared" si="2"/>
        <v>1.9466666666666668</v>
      </c>
    </row>
    <row r="18" spans="1:25" s="215" customFormat="1" ht="30" customHeight="1">
      <c r="A18" s="309">
        <v>8</v>
      </c>
      <c r="B18" s="309" t="s">
        <v>38</v>
      </c>
      <c r="C18" s="310">
        <f t="shared" si="3"/>
        <v>458496</v>
      </c>
      <c r="D18" s="310">
        <f>50590+600</f>
        <v>51190</v>
      </c>
      <c r="E18" s="310">
        <f>398166+8628+81+209+222</f>
        <v>407306</v>
      </c>
      <c r="F18" s="310">
        <v>178026</v>
      </c>
      <c r="G18" s="310">
        <v>500</v>
      </c>
      <c r="H18" s="311">
        <f t="shared" si="4"/>
        <v>570458.3704049999</v>
      </c>
      <c r="I18" s="311">
        <v>43215.371874</v>
      </c>
      <c r="J18" s="311">
        <v>425826.48622</v>
      </c>
      <c r="K18" s="311">
        <v>184302.420679</v>
      </c>
      <c r="L18" s="311">
        <v>551.2</v>
      </c>
      <c r="M18" s="311">
        <f t="shared" si="5"/>
        <v>1220.404</v>
      </c>
      <c r="N18" s="311">
        <v>955.215</v>
      </c>
      <c r="O18" s="311">
        <v>265.189</v>
      </c>
      <c r="P18" s="311">
        <f t="shared" si="6"/>
        <v>410.11</v>
      </c>
      <c r="Q18" s="311"/>
      <c r="R18" s="311">
        <v>410.11</v>
      </c>
      <c r="S18" s="311">
        <v>687.142044</v>
      </c>
      <c r="T18" s="311">
        <v>99098.856267</v>
      </c>
      <c r="U18" s="312">
        <f t="shared" si="2"/>
        <v>1.2441948684503243</v>
      </c>
      <c r="V18" s="312">
        <f t="shared" si="2"/>
        <v>0.8442151176792342</v>
      </c>
      <c r="W18" s="312">
        <f t="shared" si="2"/>
        <v>1.0454706933362141</v>
      </c>
      <c r="X18" s="312">
        <f t="shared" si="2"/>
        <v>1.0352556406311437</v>
      </c>
      <c r="Y18" s="312">
        <f t="shared" si="2"/>
        <v>1.1024</v>
      </c>
    </row>
    <row r="19" spans="1:25" s="215" customFormat="1" ht="30" customHeight="1">
      <c r="A19" s="309">
        <v>9</v>
      </c>
      <c r="B19" s="309" t="s">
        <v>39</v>
      </c>
      <c r="C19" s="310">
        <f t="shared" si="3"/>
        <v>127059</v>
      </c>
      <c r="D19" s="310">
        <f>3872+722+430</f>
        <v>5024</v>
      </c>
      <c r="E19" s="310">
        <f>118993+2390+242+106+304</f>
        <v>122035</v>
      </c>
      <c r="F19" s="310">
        <v>53655</v>
      </c>
      <c r="G19" s="310">
        <v>150</v>
      </c>
      <c r="H19" s="311">
        <f t="shared" si="4"/>
        <v>152391.609267</v>
      </c>
      <c r="I19" s="311">
        <v>913.543968</v>
      </c>
      <c r="J19" s="311">
        <v>130071.778759</v>
      </c>
      <c r="K19" s="311">
        <v>60015.980876</v>
      </c>
      <c r="L19" s="311">
        <v>150</v>
      </c>
      <c r="M19" s="311">
        <f t="shared" si="5"/>
        <v>2053.038</v>
      </c>
      <c r="N19" s="311">
        <v>1745.038</v>
      </c>
      <c r="O19" s="311">
        <v>308</v>
      </c>
      <c r="P19" s="311">
        <f t="shared" si="6"/>
        <v>1212.58348</v>
      </c>
      <c r="Q19" s="311">
        <v>1020</v>
      </c>
      <c r="R19" s="311">
        <v>192.58348</v>
      </c>
      <c r="S19" s="311">
        <v>915.784297</v>
      </c>
      <c r="T19" s="311">
        <v>17224.880763</v>
      </c>
      <c r="U19" s="312">
        <f t="shared" si="2"/>
        <v>1.199376740467027</v>
      </c>
      <c r="V19" s="312">
        <f t="shared" si="2"/>
        <v>0.18183598089171973</v>
      </c>
      <c r="W19" s="312">
        <f t="shared" si="2"/>
        <v>1.065856342516491</v>
      </c>
      <c r="X19" s="312">
        <f t="shared" si="2"/>
        <v>1.1185533664336968</v>
      </c>
      <c r="Y19" s="312">
        <f t="shared" si="2"/>
        <v>1</v>
      </c>
    </row>
    <row r="20" spans="1:25" s="215" customFormat="1" ht="30" customHeight="1">
      <c r="A20" s="309">
        <v>10</v>
      </c>
      <c r="B20" s="309" t="s">
        <v>40</v>
      </c>
      <c r="C20" s="310">
        <f t="shared" si="3"/>
        <v>532701</v>
      </c>
      <c r="D20" s="310">
        <f>1000+37862+21300</f>
        <v>60162</v>
      </c>
      <c r="E20" s="310">
        <f>430829+8272+18742+14151+545</f>
        <v>472539</v>
      </c>
      <c r="F20" s="310">
        <v>276274</v>
      </c>
      <c r="G20" s="310">
        <v>150</v>
      </c>
      <c r="H20" s="311">
        <f t="shared" si="4"/>
        <v>606294.28475</v>
      </c>
      <c r="I20" s="311">
        <v>200</v>
      </c>
      <c r="J20" s="311">
        <v>458988.808782</v>
      </c>
      <c r="K20" s="311">
        <v>287236.0695</v>
      </c>
      <c r="L20" s="311">
        <v>173.4</v>
      </c>
      <c r="M20" s="311">
        <f t="shared" si="5"/>
        <v>68503.61014599999</v>
      </c>
      <c r="N20" s="311">
        <v>44966.748541</v>
      </c>
      <c r="O20" s="311">
        <v>23536.861605</v>
      </c>
      <c r="P20" s="311">
        <f t="shared" si="6"/>
        <v>1772.082</v>
      </c>
      <c r="Q20" s="311">
        <v>580</v>
      </c>
      <c r="R20" s="311">
        <v>1192.082</v>
      </c>
      <c r="S20" s="311">
        <v>25484.207366</v>
      </c>
      <c r="T20" s="311">
        <v>51345.576456</v>
      </c>
      <c r="U20" s="312">
        <f t="shared" si="2"/>
        <v>1.138151204428</v>
      </c>
      <c r="V20" s="312">
        <f t="shared" si="2"/>
        <v>0.0033243575679000035</v>
      </c>
      <c r="W20" s="312">
        <f t="shared" si="2"/>
        <v>0.9713247134776177</v>
      </c>
      <c r="X20" s="312">
        <f t="shared" si="2"/>
        <v>1.0396782523871229</v>
      </c>
      <c r="Y20" s="312">
        <f t="shared" si="2"/>
        <v>1.1560000000000001</v>
      </c>
    </row>
    <row r="21" spans="1:25" ht="12.75">
      <c r="A21" s="313"/>
      <c r="B21" s="314"/>
      <c r="C21" s="315"/>
      <c r="D21" s="315"/>
      <c r="E21" s="315"/>
      <c r="F21" s="315"/>
      <c r="G21" s="315"/>
      <c r="H21" s="316"/>
      <c r="I21" s="316"/>
      <c r="J21" s="316"/>
      <c r="K21" s="316"/>
      <c r="L21" s="316"/>
      <c r="M21" s="316"/>
      <c r="N21" s="316"/>
      <c r="O21" s="316"/>
      <c r="P21" s="316"/>
      <c r="Q21" s="316"/>
      <c r="R21" s="316"/>
      <c r="S21" s="316"/>
      <c r="T21" s="316"/>
      <c r="U21" s="317"/>
      <c r="V21" s="317"/>
      <c r="W21" s="317"/>
      <c r="X21" s="317"/>
      <c r="Y21" s="317"/>
    </row>
    <row r="22" spans="1:20" ht="15.75" hidden="1">
      <c r="A22" s="216"/>
      <c r="H22" s="46">
        <v>5623135.743851</v>
      </c>
      <c r="I22" s="210">
        <v>109677.962368</v>
      </c>
      <c r="J22" s="210">
        <v>4380247.195475</v>
      </c>
      <c r="K22" s="46">
        <v>2584059.029823</v>
      </c>
      <c r="L22" s="46">
        <v>3792.650341</v>
      </c>
      <c r="N22" s="46">
        <v>348764.606799</v>
      </c>
      <c r="O22" s="46">
        <v>125594.582624</v>
      </c>
      <c r="Q22" s="46">
        <v>105854.374118</v>
      </c>
      <c r="R22" s="46">
        <v>11139.402871</v>
      </c>
      <c r="S22" s="210">
        <v>52875.735815</v>
      </c>
      <c r="T22" s="210">
        <v>488981.883781</v>
      </c>
    </row>
    <row r="23" spans="1:25" s="219" customFormat="1" ht="15.75" hidden="1">
      <c r="A23" s="218"/>
      <c r="C23" s="209"/>
      <c r="D23" s="209"/>
      <c r="E23" s="209"/>
      <c r="F23" s="209"/>
      <c r="G23" s="209"/>
      <c r="H23" s="46">
        <f>H10-H22</f>
        <v>370601.71749199834</v>
      </c>
      <c r="I23" s="46">
        <f>I10-I22</f>
        <v>-10335.582681</v>
      </c>
      <c r="J23" s="46">
        <f>J10-J22</f>
        <v>209104.64631899912</v>
      </c>
      <c r="K23" s="46">
        <f>K10-K22</f>
        <v>87827.2367779999</v>
      </c>
      <c r="L23" s="46">
        <f>SUM(L10-L22)</f>
        <v>-915.2950689999998</v>
      </c>
      <c r="M23" s="46">
        <f aca="true" t="shared" si="7" ref="M23:T23">SUM(M10-M22)</f>
        <v>584877.242262</v>
      </c>
      <c r="N23" s="46">
        <f t="shared" si="7"/>
        <v>75479.08075000008</v>
      </c>
      <c r="O23" s="46">
        <f t="shared" si="7"/>
        <v>35038.97208900002</v>
      </c>
      <c r="P23" s="46">
        <f t="shared" si="7"/>
        <v>131693.756126</v>
      </c>
      <c r="Q23" s="46">
        <f t="shared" si="7"/>
        <v>-18548.639293000015</v>
      </c>
      <c r="R23" s="46">
        <f t="shared" si="7"/>
        <v>33248.61843</v>
      </c>
      <c r="S23" s="46">
        <f t="shared" si="7"/>
        <v>86266.924757</v>
      </c>
      <c r="T23" s="46">
        <f t="shared" si="7"/>
        <v>-39652.302879000024</v>
      </c>
      <c r="U23" s="217"/>
      <c r="V23" s="217"/>
      <c r="W23" s="217"/>
      <c r="X23" s="217"/>
      <c r="Y23" s="217"/>
    </row>
    <row r="24" ht="15.75" hidden="1">
      <c r="A24" s="218"/>
    </row>
    <row r="25" ht="15.75" hidden="1">
      <c r="A25" s="218"/>
    </row>
    <row r="26" ht="15" hidden="1">
      <c r="A26" s="220"/>
    </row>
    <row r="27" ht="15">
      <c r="A27" s="220"/>
    </row>
    <row r="28" ht="15">
      <c r="A28" s="220"/>
    </row>
    <row r="29" ht="15">
      <c r="A29" s="220"/>
    </row>
    <row r="30" ht="15">
      <c r="A30" s="220"/>
    </row>
    <row r="31" ht="15">
      <c r="A31" s="220"/>
    </row>
    <row r="32" ht="15">
      <c r="A32" s="220"/>
    </row>
    <row r="33" ht="15">
      <c r="A33" s="220"/>
    </row>
  </sheetData>
  <sheetProtection/>
  <mergeCells count="31">
    <mergeCell ref="W1:Y1"/>
    <mergeCell ref="V6:V8"/>
    <mergeCell ref="W6:W8"/>
    <mergeCell ref="X6:Y7"/>
    <mergeCell ref="A4:K4"/>
    <mergeCell ref="U5:Y5"/>
    <mergeCell ref="T6:T8"/>
    <mergeCell ref="A5:A8"/>
    <mergeCell ref="B5:B8"/>
    <mergeCell ref="C5:G5"/>
    <mergeCell ref="H6:H8"/>
    <mergeCell ref="I6:I8"/>
    <mergeCell ref="M6:O6"/>
    <mergeCell ref="J6:L6"/>
    <mergeCell ref="M7:M8"/>
    <mergeCell ref="U6:U8"/>
    <mergeCell ref="C6:C8"/>
    <mergeCell ref="P6:R6"/>
    <mergeCell ref="E6:E8"/>
    <mergeCell ref="S6:S8"/>
    <mergeCell ref="Q7:R7"/>
    <mergeCell ref="A3:Y3"/>
    <mergeCell ref="P7:P8"/>
    <mergeCell ref="D6:D8"/>
    <mergeCell ref="H5:T5"/>
    <mergeCell ref="A2:Y2"/>
    <mergeCell ref="F6:G7"/>
    <mergeCell ref="N7:O7"/>
    <mergeCell ref="W4:Y4"/>
    <mergeCell ref="J7:J8"/>
    <mergeCell ref="K7:L7"/>
  </mergeCells>
  <printOptions horizontalCentered="1"/>
  <pageMargins left="0" right="0" top="0.5905511811023623" bottom="0" header="0.31496062992125984" footer="0.31496062992125984"/>
  <pageSetup horizontalDpi="600" verticalDpi="600" orientation="landscape" paperSize="8" scale="65" r:id="rId1"/>
</worksheet>
</file>

<file path=xl/worksheets/sheet8.xml><?xml version="1.0" encoding="utf-8"?>
<worksheet xmlns="http://schemas.openxmlformats.org/spreadsheetml/2006/main" xmlns:r="http://schemas.openxmlformats.org/officeDocument/2006/relationships">
  <sheetPr>
    <tabColor indexed="10"/>
  </sheetPr>
  <dimension ref="A1:AC35"/>
  <sheetViews>
    <sheetView zoomScale="75" zoomScaleNormal="75" zoomScalePageLayoutView="0" workbookViewId="0" topLeftCell="A1">
      <selection activeCell="N8" sqref="N8"/>
    </sheetView>
  </sheetViews>
  <sheetFormatPr defaultColWidth="9.140625" defaultRowHeight="15"/>
  <cols>
    <col min="1" max="1" width="4.140625" style="221" customWidth="1"/>
    <col min="2" max="2" width="16.421875" style="221" customWidth="1"/>
    <col min="3" max="3" width="7.7109375" style="221" customWidth="1"/>
    <col min="4" max="4" width="7.140625" style="221" customWidth="1"/>
    <col min="5" max="5" width="7.00390625" style="221" customWidth="1"/>
    <col min="6" max="6" width="5.7109375" style="221" customWidth="1"/>
    <col min="7" max="7" width="7.140625" style="221" customWidth="1"/>
    <col min="8" max="9" width="6.140625" style="221" customWidth="1"/>
    <col min="10" max="10" width="7.00390625" style="221" customWidth="1"/>
    <col min="11" max="11" width="9.28125" style="221" customWidth="1"/>
    <col min="12" max="12" width="8.8515625" style="221" customWidth="1"/>
    <col min="13" max="13" width="8.28125" style="221" customWidth="1"/>
    <col min="14" max="14" width="7.00390625" style="221" customWidth="1"/>
    <col min="15" max="15" width="9.57421875" style="221" customWidth="1"/>
    <col min="16" max="16" width="7.8515625" style="221" customWidth="1"/>
    <col min="17" max="17" width="7.7109375" style="221" customWidth="1"/>
    <col min="18" max="18" width="8.28125" style="221" customWidth="1"/>
    <col min="19" max="19" width="5.7109375" style="221" customWidth="1"/>
    <col min="20" max="20" width="6.28125" style="221" customWidth="1"/>
    <col min="21" max="21" width="6.421875" style="221" customWidth="1"/>
    <col min="22" max="22" width="5.57421875" style="221" customWidth="1"/>
    <col min="23" max="23" width="6.57421875" style="221" customWidth="1"/>
    <col min="24" max="24" width="6.140625" style="221" customWidth="1"/>
    <col min="25" max="25" width="6.00390625" style="59" customWidth="1"/>
    <col min="26" max="26" width="6.28125" style="221" customWidth="1"/>
    <col min="27" max="16384" width="9.140625" style="221" customWidth="1"/>
  </cols>
  <sheetData>
    <row r="1" spans="24:26" ht="15.75">
      <c r="X1" s="428" t="s">
        <v>219</v>
      </c>
      <c r="Y1" s="428"/>
      <c r="Z1" s="428"/>
    </row>
    <row r="2" spans="1:26" ht="33.75" customHeight="1">
      <c r="A2" s="429" t="s">
        <v>354</v>
      </c>
      <c r="B2" s="429"/>
      <c r="C2" s="429"/>
      <c r="D2" s="429"/>
      <c r="E2" s="429"/>
      <c r="F2" s="429"/>
      <c r="G2" s="429"/>
      <c r="H2" s="429"/>
      <c r="I2" s="429"/>
      <c r="J2" s="429"/>
      <c r="K2" s="429"/>
      <c r="L2" s="429"/>
      <c r="M2" s="429"/>
      <c r="N2" s="429"/>
      <c r="O2" s="429"/>
      <c r="P2" s="429"/>
      <c r="Q2" s="429"/>
      <c r="R2" s="429"/>
      <c r="S2" s="429"/>
      <c r="T2" s="429"/>
      <c r="U2" s="429"/>
      <c r="V2" s="429"/>
      <c r="W2" s="429"/>
      <c r="X2" s="429"/>
      <c r="Y2" s="429"/>
      <c r="Z2" s="429"/>
    </row>
    <row r="3" spans="1:26" ht="30" customHeight="1">
      <c r="A3" s="401" t="s">
        <v>436</v>
      </c>
      <c r="B3" s="401"/>
      <c r="C3" s="401"/>
      <c r="D3" s="401"/>
      <c r="E3" s="401"/>
      <c r="F3" s="401"/>
      <c r="G3" s="401"/>
      <c r="H3" s="401"/>
      <c r="I3" s="401"/>
      <c r="J3" s="401"/>
      <c r="K3" s="401"/>
      <c r="L3" s="401"/>
      <c r="M3" s="401"/>
      <c r="N3" s="401"/>
      <c r="O3" s="401"/>
      <c r="P3" s="401"/>
      <c r="Q3" s="401"/>
      <c r="R3" s="401"/>
      <c r="S3" s="401"/>
      <c r="T3" s="401"/>
      <c r="U3" s="401"/>
      <c r="V3" s="401"/>
      <c r="W3" s="401"/>
      <c r="X3" s="401"/>
      <c r="Y3" s="401"/>
      <c r="Z3" s="401"/>
    </row>
    <row r="4" spans="24:26" ht="28.5" customHeight="1">
      <c r="X4" s="427" t="s">
        <v>85</v>
      </c>
      <c r="Y4" s="427"/>
      <c r="Z4" s="427"/>
    </row>
    <row r="5" spans="1:26" ht="27" customHeight="1">
      <c r="A5" s="426" t="s">
        <v>389</v>
      </c>
      <c r="B5" s="426" t="s">
        <v>12</v>
      </c>
      <c r="C5" s="426" t="s">
        <v>167</v>
      </c>
      <c r="D5" s="426"/>
      <c r="E5" s="426"/>
      <c r="F5" s="426"/>
      <c r="G5" s="426"/>
      <c r="H5" s="426"/>
      <c r="I5" s="426"/>
      <c r="J5" s="426"/>
      <c r="K5" s="426" t="s">
        <v>208</v>
      </c>
      <c r="L5" s="426"/>
      <c r="M5" s="426"/>
      <c r="N5" s="426"/>
      <c r="O5" s="426"/>
      <c r="P5" s="426"/>
      <c r="Q5" s="426"/>
      <c r="R5" s="426"/>
      <c r="S5" s="426" t="s">
        <v>220</v>
      </c>
      <c r="T5" s="426"/>
      <c r="U5" s="426"/>
      <c r="V5" s="426"/>
      <c r="W5" s="426"/>
      <c r="X5" s="426"/>
      <c r="Y5" s="426"/>
      <c r="Z5" s="426"/>
    </row>
    <row r="6" spans="1:26" ht="29.25" customHeight="1">
      <c r="A6" s="426"/>
      <c r="B6" s="426"/>
      <c r="C6" s="426" t="s">
        <v>335</v>
      </c>
      <c r="D6" s="426" t="s">
        <v>213</v>
      </c>
      <c r="E6" s="426" t="s">
        <v>214</v>
      </c>
      <c r="F6" s="426"/>
      <c r="G6" s="426"/>
      <c r="H6" s="426"/>
      <c r="I6" s="426"/>
      <c r="J6" s="426"/>
      <c r="K6" s="426" t="s">
        <v>335</v>
      </c>
      <c r="L6" s="426" t="s">
        <v>213</v>
      </c>
      <c r="M6" s="426" t="s">
        <v>214</v>
      </c>
      <c r="N6" s="426"/>
      <c r="O6" s="426"/>
      <c r="P6" s="426"/>
      <c r="Q6" s="426"/>
      <c r="R6" s="426"/>
      <c r="S6" s="426" t="s">
        <v>335</v>
      </c>
      <c r="T6" s="426" t="s">
        <v>213</v>
      </c>
      <c r="U6" s="426" t="s">
        <v>214</v>
      </c>
      <c r="V6" s="426"/>
      <c r="W6" s="426"/>
      <c r="X6" s="426"/>
      <c r="Y6" s="426"/>
      <c r="Z6" s="426"/>
    </row>
    <row r="7" spans="1:26" ht="24.75" customHeight="1">
      <c r="A7" s="426"/>
      <c r="B7" s="426"/>
      <c r="C7" s="426"/>
      <c r="D7" s="426"/>
      <c r="E7" s="426" t="s">
        <v>335</v>
      </c>
      <c r="F7" s="426" t="s">
        <v>221</v>
      </c>
      <c r="G7" s="426"/>
      <c r="H7" s="426" t="s">
        <v>222</v>
      </c>
      <c r="I7" s="426" t="s">
        <v>128</v>
      </c>
      <c r="J7" s="426" t="s">
        <v>223</v>
      </c>
      <c r="K7" s="426"/>
      <c r="L7" s="426"/>
      <c r="M7" s="426" t="s">
        <v>335</v>
      </c>
      <c r="N7" s="426" t="s">
        <v>221</v>
      </c>
      <c r="O7" s="426"/>
      <c r="P7" s="426" t="s">
        <v>222</v>
      </c>
      <c r="Q7" s="426" t="s">
        <v>128</v>
      </c>
      <c r="R7" s="426" t="s">
        <v>223</v>
      </c>
      <c r="S7" s="426"/>
      <c r="T7" s="426"/>
      <c r="U7" s="426" t="s">
        <v>335</v>
      </c>
      <c r="V7" s="426" t="s">
        <v>221</v>
      </c>
      <c r="W7" s="426"/>
      <c r="X7" s="426" t="s">
        <v>222</v>
      </c>
      <c r="Y7" s="417" t="s">
        <v>129</v>
      </c>
      <c r="Z7" s="426" t="s">
        <v>223</v>
      </c>
    </row>
    <row r="8" spans="1:26" ht="132.75" customHeight="1">
      <c r="A8" s="426"/>
      <c r="B8" s="426"/>
      <c r="C8" s="426"/>
      <c r="D8" s="426"/>
      <c r="E8" s="426"/>
      <c r="F8" s="320" t="s">
        <v>30</v>
      </c>
      <c r="G8" s="320" t="s">
        <v>338</v>
      </c>
      <c r="H8" s="426"/>
      <c r="I8" s="426"/>
      <c r="J8" s="426"/>
      <c r="K8" s="426"/>
      <c r="L8" s="426"/>
      <c r="M8" s="426"/>
      <c r="N8" s="320" t="s">
        <v>30</v>
      </c>
      <c r="O8" s="320" t="s">
        <v>338</v>
      </c>
      <c r="P8" s="426"/>
      <c r="Q8" s="426"/>
      <c r="R8" s="426"/>
      <c r="S8" s="426"/>
      <c r="T8" s="426"/>
      <c r="U8" s="426"/>
      <c r="V8" s="320" t="s">
        <v>30</v>
      </c>
      <c r="W8" s="320" t="s">
        <v>338</v>
      </c>
      <c r="X8" s="426"/>
      <c r="Y8" s="417"/>
      <c r="Z8" s="426"/>
    </row>
    <row r="9" spans="1:26" s="223" customFormat="1" ht="24" customHeight="1">
      <c r="A9" s="321" t="s">
        <v>83</v>
      </c>
      <c r="B9" s="321" t="s">
        <v>84</v>
      </c>
      <c r="C9" s="321">
        <v>1</v>
      </c>
      <c r="D9" s="321">
        <v>2</v>
      </c>
      <c r="E9" s="321" t="s">
        <v>224</v>
      </c>
      <c r="F9" s="321">
        <v>4</v>
      </c>
      <c r="G9" s="321">
        <v>5</v>
      </c>
      <c r="H9" s="321">
        <v>6</v>
      </c>
      <c r="I9" s="321">
        <v>7</v>
      </c>
      <c r="J9" s="321">
        <v>8</v>
      </c>
      <c r="K9" s="321">
        <v>9</v>
      </c>
      <c r="L9" s="321">
        <v>10</v>
      </c>
      <c r="M9" s="321" t="s">
        <v>100</v>
      </c>
      <c r="N9" s="321">
        <v>12</v>
      </c>
      <c r="O9" s="321">
        <v>13</v>
      </c>
      <c r="P9" s="321">
        <v>14</v>
      </c>
      <c r="Q9" s="321">
        <v>15</v>
      </c>
      <c r="R9" s="321">
        <v>16</v>
      </c>
      <c r="S9" s="321" t="s">
        <v>101</v>
      </c>
      <c r="T9" s="321" t="s">
        <v>102</v>
      </c>
      <c r="U9" s="321" t="s">
        <v>322</v>
      </c>
      <c r="V9" s="321" t="s">
        <v>323</v>
      </c>
      <c r="W9" s="321" t="s">
        <v>324</v>
      </c>
      <c r="X9" s="321" t="s">
        <v>325</v>
      </c>
      <c r="Y9" s="322" t="s">
        <v>326</v>
      </c>
      <c r="Z9" s="222" t="s">
        <v>327</v>
      </c>
    </row>
    <row r="10" spans="1:26" s="224" customFormat="1" ht="37.5" customHeight="1">
      <c r="A10" s="323"/>
      <c r="B10" s="323" t="s">
        <v>336</v>
      </c>
      <c r="C10" s="324">
        <f>SUM(C11:C20)</f>
        <v>4632904</v>
      </c>
      <c r="D10" s="324">
        <f aca="true" t="shared" si="0" ref="D10:J10">SUM(D11:D20)</f>
        <v>3997101</v>
      </c>
      <c r="E10" s="324">
        <f t="shared" si="0"/>
        <v>635803</v>
      </c>
      <c r="F10" s="324">
        <f t="shared" si="0"/>
        <v>36859</v>
      </c>
      <c r="G10" s="324">
        <f t="shared" si="0"/>
        <v>598944</v>
      </c>
      <c r="H10" s="324">
        <f t="shared" si="0"/>
        <v>11518</v>
      </c>
      <c r="I10" s="324">
        <f t="shared" si="0"/>
        <v>58327</v>
      </c>
      <c r="J10" s="324">
        <f t="shared" si="0"/>
        <v>565958</v>
      </c>
      <c r="K10" s="325">
        <f>SUM(K11:K20)</f>
        <v>4945415.044094</v>
      </c>
      <c r="L10" s="325">
        <f>SUM(L11:L20)</f>
        <v>4005556.5198000004</v>
      </c>
      <c r="M10" s="325">
        <f aca="true" t="shared" si="1" ref="M10:R10">SUM(M11:M20)</f>
        <v>939858.524294</v>
      </c>
      <c r="N10" s="325">
        <f t="shared" si="1"/>
        <v>34942.336459</v>
      </c>
      <c r="O10" s="325">
        <f t="shared" si="1"/>
        <v>904916.1878350001</v>
      </c>
      <c r="P10" s="325">
        <f t="shared" si="1"/>
        <v>91652.511089</v>
      </c>
      <c r="Q10" s="325">
        <f t="shared" si="1"/>
        <v>259663.014518</v>
      </c>
      <c r="R10" s="325">
        <f t="shared" si="1"/>
        <v>588542.998687</v>
      </c>
      <c r="S10" s="326">
        <f aca="true" t="shared" si="2" ref="S10:X10">K10/C10</f>
        <v>1.0674546772594469</v>
      </c>
      <c r="T10" s="327">
        <f t="shared" si="2"/>
        <v>1.0021154130956411</v>
      </c>
      <c r="U10" s="327">
        <f t="shared" si="2"/>
        <v>1.4782228525093464</v>
      </c>
      <c r="V10" s="327">
        <f t="shared" si="2"/>
        <v>0.9480001209745245</v>
      </c>
      <c r="W10" s="327">
        <f t="shared" si="2"/>
        <v>1.510852747226786</v>
      </c>
      <c r="X10" s="327">
        <f t="shared" si="2"/>
        <v>7.957328623806217</v>
      </c>
      <c r="Y10" s="328">
        <f>Q10/I10</f>
        <v>4.451849306804739</v>
      </c>
      <c r="Z10" s="327">
        <f>R10/J10</f>
        <v>1.0399057857420515</v>
      </c>
    </row>
    <row r="11" spans="1:26" s="225" customFormat="1" ht="30" customHeight="1">
      <c r="A11" s="304">
        <v>1</v>
      </c>
      <c r="B11" s="304" t="s">
        <v>33</v>
      </c>
      <c r="C11" s="329">
        <f>SUM(D11:E11)</f>
        <v>781410</v>
      </c>
      <c r="D11" s="329">
        <f>690799+22404</f>
        <v>713203</v>
      </c>
      <c r="E11" s="329">
        <f>SUM(F11:G11)</f>
        <v>68207</v>
      </c>
      <c r="F11" s="329"/>
      <c r="G11" s="329">
        <f>(H11+I11+J11)-F11</f>
        <v>68207</v>
      </c>
      <c r="H11" s="329"/>
      <c r="I11" s="329">
        <v>6231</v>
      </c>
      <c r="J11" s="329">
        <v>61976</v>
      </c>
      <c r="K11" s="330">
        <f>SUM(L11:M11)</f>
        <v>813630.03884</v>
      </c>
      <c r="L11" s="330">
        <v>711493</v>
      </c>
      <c r="M11" s="330">
        <f>SUM(N11:O11)</f>
        <v>102137.03884</v>
      </c>
      <c r="N11" s="330">
        <v>58.93884</v>
      </c>
      <c r="O11" s="330">
        <f>SUM(P11:R11)-N11</f>
        <v>102078.09999999999</v>
      </c>
      <c r="P11" s="330">
        <v>8740</v>
      </c>
      <c r="Q11" s="330">
        <f>38129+58.93884</f>
        <v>38187.93884</v>
      </c>
      <c r="R11" s="330">
        <v>55209.1</v>
      </c>
      <c r="S11" s="331">
        <f>K11/C11</f>
        <v>1.0412332051547843</v>
      </c>
      <c r="T11" s="331">
        <f>L11/D11</f>
        <v>0.9976023656658763</v>
      </c>
      <c r="U11" s="331">
        <f>M11/E11</f>
        <v>1.497456842259592</v>
      </c>
      <c r="V11" s="331"/>
      <c r="W11" s="331">
        <f>O11/G11</f>
        <v>1.4965927250868678</v>
      </c>
      <c r="X11" s="331"/>
      <c r="Y11" s="332">
        <f>Q11/I11</f>
        <v>6.128701466859252</v>
      </c>
      <c r="Z11" s="331">
        <f aca="true" t="shared" si="3" ref="Z11:Z20">R11/J11</f>
        <v>0.8908141861365689</v>
      </c>
    </row>
    <row r="12" spans="1:26" s="226" customFormat="1" ht="30" customHeight="1">
      <c r="A12" s="304">
        <v>2</v>
      </c>
      <c r="B12" s="304" t="s">
        <v>31</v>
      </c>
      <c r="C12" s="329">
        <f aca="true" t="shared" si="4" ref="C12:C20">SUM(D12:E12)</f>
        <v>631848</v>
      </c>
      <c r="D12" s="329">
        <f>519958+24794</f>
        <v>544752</v>
      </c>
      <c r="E12" s="329">
        <f>SUM(F12:G12)</f>
        <v>87096</v>
      </c>
      <c r="F12" s="329">
        <v>7210</v>
      </c>
      <c r="G12" s="329">
        <f aca="true" t="shared" si="5" ref="G12:G20">(H12+I12+J12)-F12</f>
        <v>79886</v>
      </c>
      <c r="H12" s="329">
        <v>2518</v>
      </c>
      <c r="I12" s="329">
        <v>11355</v>
      </c>
      <c r="J12" s="329">
        <v>73223</v>
      </c>
      <c r="K12" s="330">
        <f>SUM(L12:M12)</f>
        <v>661365.718919</v>
      </c>
      <c r="L12" s="330">
        <v>544752</v>
      </c>
      <c r="M12" s="330">
        <f>SUM(N12:O12)</f>
        <v>116613.71891899999</v>
      </c>
      <c r="N12" s="330">
        <v>50.518919</v>
      </c>
      <c r="O12" s="330">
        <f>SUM(P12:R12)-N12</f>
        <v>116563.2</v>
      </c>
      <c r="P12" s="330">
        <v>14038</v>
      </c>
      <c r="Q12" s="330">
        <f>30035+50.518919</f>
        <v>30085.518919</v>
      </c>
      <c r="R12" s="330">
        <v>72490.2</v>
      </c>
      <c r="S12" s="331">
        <f aca="true" t="shared" si="6" ref="S12:S20">K12/C12</f>
        <v>1.046716487064927</v>
      </c>
      <c r="T12" s="331">
        <f aca="true" t="shared" si="7" ref="T12:T20">L12/D12</f>
        <v>1</v>
      </c>
      <c r="U12" s="331">
        <f aca="true" t="shared" si="8" ref="U12:U20">M12/E12</f>
        <v>1.338910155678791</v>
      </c>
      <c r="V12" s="331">
        <f>N12/F12</f>
        <v>0.007006784882108183</v>
      </c>
      <c r="W12" s="331">
        <f aca="true" t="shared" si="9" ref="W12:W20">O12/G12</f>
        <v>1.4591192449240167</v>
      </c>
      <c r="X12" s="331">
        <f>P12/H12</f>
        <v>5.575059571088166</v>
      </c>
      <c r="Y12" s="332">
        <f aca="true" t="shared" si="10" ref="Y12:Y19">Q12/I12</f>
        <v>2.6495393147512107</v>
      </c>
      <c r="Z12" s="331">
        <f t="shared" si="3"/>
        <v>0.9899922155606844</v>
      </c>
    </row>
    <row r="13" spans="1:26" s="226" customFormat="1" ht="30" customHeight="1">
      <c r="A13" s="304">
        <v>3</v>
      </c>
      <c r="B13" s="304" t="s">
        <v>32</v>
      </c>
      <c r="C13" s="329">
        <f t="shared" si="4"/>
        <v>377354</v>
      </c>
      <c r="D13" s="329">
        <f>305006+8355</f>
        <v>313361</v>
      </c>
      <c r="E13" s="329">
        <f aca="true" t="shared" si="11" ref="E13:E20">SUM(F13:G13)</f>
        <v>63993</v>
      </c>
      <c r="F13" s="329"/>
      <c r="G13" s="329">
        <f t="shared" si="5"/>
        <v>63993</v>
      </c>
      <c r="H13" s="329"/>
      <c r="I13" s="329">
        <v>2410</v>
      </c>
      <c r="J13" s="329">
        <v>61583</v>
      </c>
      <c r="K13" s="330">
        <f aca="true" t="shared" si="12" ref="K13:K20">SUM(L13:M13)</f>
        <v>414320.831805</v>
      </c>
      <c r="L13" s="330">
        <v>315037.1741</v>
      </c>
      <c r="M13" s="330">
        <f aca="true" t="shared" si="13" ref="M13:M20">SUM(N13:O13)</f>
        <v>99283.657705</v>
      </c>
      <c r="N13" s="330">
        <v>6907.99834</v>
      </c>
      <c r="O13" s="330">
        <f aca="true" t="shared" si="14" ref="O13:O20">SUM(P13:R13)-N13</f>
        <v>92375.659365</v>
      </c>
      <c r="P13" s="330">
        <f>6846.659365+6907.99834</f>
        <v>13754.657705000001</v>
      </c>
      <c r="Q13" s="330">
        <v>23418</v>
      </c>
      <c r="R13" s="330">
        <v>62111</v>
      </c>
      <c r="S13" s="331">
        <f t="shared" si="6"/>
        <v>1.0979632700461637</v>
      </c>
      <c r="T13" s="331">
        <f t="shared" si="7"/>
        <v>1.0053490195014696</v>
      </c>
      <c r="U13" s="331">
        <f t="shared" si="8"/>
        <v>1.5514768444204836</v>
      </c>
      <c r="V13" s="331"/>
      <c r="W13" s="331">
        <f t="shared" si="9"/>
        <v>1.4435275634053724</v>
      </c>
      <c r="X13" s="331"/>
      <c r="Y13" s="332">
        <f t="shared" si="10"/>
        <v>9.71701244813278</v>
      </c>
      <c r="Z13" s="331">
        <f t="shared" si="3"/>
        <v>1.0085737947160742</v>
      </c>
    </row>
    <row r="14" spans="1:26" s="226" customFormat="1" ht="30" customHeight="1">
      <c r="A14" s="304">
        <v>4</v>
      </c>
      <c r="B14" s="304" t="s">
        <v>34</v>
      </c>
      <c r="C14" s="329">
        <f t="shared" si="4"/>
        <v>448008</v>
      </c>
      <c r="D14" s="329">
        <f>377680+9684</f>
        <v>387364</v>
      </c>
      <c r="E14" s="329">
        <f t="shared" si="11"/>
        <v>60644</v>
      </c>
      <c r="F14" s="329">
        <v>6941</v>
      </c>
      <c r="G14" s="329">
        <f t="shared" si="5"/>
        <v>53703</v>
      </c>
      <c r="H14" s="329"/>
      <c r="I14" s="329">
        <v>8104</v>
      </c>
      <c r="J14" s="329">
        <v>52540</v>
      </c>
      <c r="K14" s="330">
        <f t="shared" si="12"/>
        <v>485196.63446000003</v>
      </c>
      <c r="L14" s="330">
        <v>390763.5152</v>
      </c>
      <c r="M14" s="330">
        <f t="shared" si="13"/>
        <v>94433.11926</v>
      </c>
      <c r="N14" s="330">
        <f>8998.56334+50.51892</f>
        <v>9049.082260000001</v>
      </c>
      <c r="O14" s="330">
        <f t="shared" si="14"/>
        <v>85384.03700000001</v>
      </c>
      <c r="P14" s="330">
        <f>594.237+8998.56334</f>
        <v>9592.80034</v>
      </c>
      <c r="Q14" s="330">
        <f>21374+50.51892</f>
        <v>21424.51892</v>
      </c>
      <c r="R14" s="330">
        <v>63415.8</v>
      </c>
      <c r="S14" s="331">
        <f t="shared" si="6"/>
        <v>1.0830088624756702</v>
      </c>
      <c r="T14" s="331">
        <f t="shared" si="7"/>
        <v>1.0087760225524314</v>
      </c>
      <c r="U14" s="331">
        <f t="shared" si="8"/>
        <v>1.557171678319372</v>
      </c>
      <c r="V14" s="331">
        <f>N14/F14</f>
        <v>1.3037144878259619</v>
      </c>
      <c r="W14" s="331">
        <f t="shared" si="9"/>
        <v>1.5899304880546712</v>
      </c>
      <c r="X14" s="331"/>
      <c r="Y14" s="332">
        <f t="shared" si="10"/>
        <v>2.643696806515301</v>
      </c>
      <c r="Z14" s="331">
        <f t="shared" si="3"/>
        <v>1.2070003806623526</v>
      </c>
    </row>
    <row r="15" spans="1:26" s="226" customFormat="1" ht="30" customHeight="1">
      <c r="A15" s="304">
        <v>5</v>
      </c>
      <c r="B15" s="304" t="s">
        <v>35</v>
      </c>
      <c r="C15" s="329">
        <f t="shared" si="4"/>
        <v>444663</v>
      </c>
      <c r="D15" s="329">
        <f>351322+8059</f>
        <v>359381</v>
      </c>
      <c r="E15" s="329">
        <f t="shared" si="11"/>
        <v>85282</v>
      </c>
      <c r="F15" s="329">
        <v>9968</v>
      </c>
      <c r="G15" s="329">
        <f t="shared" si="5"/>
        <v>75314</v>
      </c>
      <c r="H15" s="329">
        <v>5000</v>
      </c>
      <c r="I15" s="329">
        <v>11084</v>
      </c>
      <c r="J15" s="329">
        <v>69198</v>
      </c>
      <c r="K15" s="330">
        <f t="shared" si="12"/>
        <v>491146.280894</v>
      </c>
      <c r="L15" s="330">
        <v>363390.4918</v>
      </c>
      <c r="M15" s="330">
        <f t="shared" si="13"/>
        <v>127755.789094</v>
      </c>
      <c r="N15" s="330">
        <f>8162.701+50.518919</f>
        <v>8213.219919</v>
      </c>
      <c r="O15" s="330">
        <f t="shared" si="14"/>
        <v>119542.56917500001</v>
      </c>
      <c r="P15" s="330">
        <f>10265.569175+8162.701</f>
        <v>18428.270175</v>
      </c>
      <c r="Q15" s="330">
        <f>31890+50.518919</f>
        <v>31940.518919</v>
      </c>
      <c r="R15" s="330">
        <v>77387</v>
      </c>
      <c r="S15" s="331">
        <f t="shared" si="6"/>
        <v>1.1045359764450833</v>
      </c>
      <c r="T15" s="331">
        <f t="shared" si="7"/>
        <v>1.0111566604801034</v>
      </c>
      <c r="U15" s="331">
        <f t="shared" si="8"/>
        <v>1.4980393177223799</v>
      </c>
      <c r="V15" s="331">
        <f>N15/F15</f>
        <v>0.8239586596107543</v>
      </c>
      <c r="W15" s="331">
        <f t="shared" si="9"/>
        <v>1.5872556121703802</v>
      </c>
      <c r="X15" s="331">
        <f>P15/H15</f>
        <v>3.685654035</v>
      </c>
      <c r="Y15" s="332">
        <f t="shared" si="10"/>
        <v>2.8816779970227353</v>
      </c>
      <c r="Z15" s="331">
        <f t="shared" si="3"/>
        <v>1.1183415705656232</v>
      </c>
    </row>
    <row r="16" spans="1:26" s="226" customFormat="1" ht="30" customHeight="1">
      <c r="A16" s="304">
        <v>6</v>
      </c>
      <c r="B16" s="304" t="s">
        <v>36</v>
      </c>
      <c r="C16" s="329">
        <f t="shared" si="4"/>
        <v>479751</v>
      </c>
      <c r="D16" s="329">
        <f>393384+10599</f>
        <v>403983</v>
      </c>
      <c r="E16" s="329">
        <f t="shared" si="11"/>
        <v>75768</v>
      </c>
      <c r="F16" s="329"/>
      <c r="G16" s="329">
        <f t="shared" si="5"/>
        <v>75768</v>
      </c>
      <c r="H16" s="329"/>
      <c r="I16" s="329">
        <v>987</v>
      </c>
      <c r="J16" s="329">
        <v>74781</v>
      </c>
      <c r="K16" s="330">
        <f t="shared" si="12"/>
        <v>534589.08</v>
      </c>
      <c r="L16" s="330">
        <v>403983</v>
      </c>
      <c r="M16" s="330">
        <f t="shared" si="13"/>
        <v>130606.08</v>
      </c>
      <c r="N16" s="330"/>
      <c r="O16" s="330">
        <f t="shared" si="14"/>
        <v>130606.08</v>
      </c>
      <c r="P16" s="330">
        <v>900</v>
      </c>
      <c r="Q16" s="330">
        <v>36405</v>
      </c>
      <c r="R16" s="330">
        <v>93301.08</v>
      </c>
      <c r="S16" s="331">
        <f t="shared" si="6"/>
        <v>1.1143052958722337</v>
      </c>
      <c r="T16" s="331">
        <f t="shared" si="7"/>
        <v>1</v>
      </c>
      <c r="U16" s="331">
        <f t="shared" si="8"/>
        <v>1.7237630662020906</v>
      </c>
      <c r="V16" s="331"/>
      <c r="W16" s="331">
        <f t="shared" si="9"/>
        <v>1.7237630662020906</v>
      </c>
      <c r="X16" s="331"/>
      <c r="Y16" s="332">
        <f>Q16/I16</f>
        <v>36.88449848024316</v>
      </c>
      <c r="Z16" s="331">
        <f t="shared" si="3"/>
        <v>1.2476575600754203</v>
      </c>
    </row>
    <row r="17" spans="1:26" s="226" customFormat="1" ht="30" customHeight="1">
      <c r="A17" s="304">
        <v>7</v>
      </c>
      <c r="B17" s="304" t="s">
        <v>37</v>
      </c>
      <c r="C17" s="329">
        <f t="shared" si="4"/>
        <v>586714</v>
      </c>
      <c r="D17" s="329">
        <f>475644+11773</f>
        <v>487417</v>
      </c>
      <c r="E17" s="329">
        <f t="shared" si="11"/>
        <v>99297</v>
      </c>
      <c r="F17" s="329">
        <v>12740</v>
      </c>
      <c r="G17" s="329">
        <f t="shared" si="5"/>
        <v>86557</v>
      </c>
      <c r="H17" s="329">
        <v>4000</v>
      </c>
      <c r="I17" s="329">
        <v>17085</v>
      </c>
      <c r="J17" s="329">
        <v>78212</v>
      </c>
      <c r="K17" s="330">
        <f t="shared" si="12"/>
        <v>618108.459176</v>
      </c>
      <c r="L17" s="330">
        <v>489306.3387</v>
      </c>
      <c r="M17" s="330">
        <f t="shared" si="13"/>
        <v>128802.12047600001</v>
      </c>
      <c r="N17" s="330">
        <f>10612.059261+50.51892</f>
        <v>10662.578181</v>
      </c>
      <c r="O17" s="330">
        <f t="shared" si="14"/>
        <v>118139.542295</v>
      </c>
      <c r="P17" s="330">
        <f>11746.723608+10612.059261</f>
        <v>22358.782869000002</v>
      </c>
      <c r="Q17" s="330">
        <f>32674+50.51892</f>
        <v>32724.51892</v>
      </c>
      <c r="R17" s="330">
        <v>73718.818687</v>
      </c>
      <c r="S17" s="331">
        <f t="shared" si="6"/>
        <v>1.0535089654857392</v>
      </c>
      <c r="T17" s="331">
        <f t="shared" si="7"/>
        <v>1.0038762265165146</v>
      </c>
      <c r="U17" s="331">
        <f t="shared" si="8"/>
        <v>1.2971400996606142</v>
      </c>
      <c r="V17" s="331">
        <f>N17/F17</f>
        <v>0.8369370628728415</v>
      </c>
      <c r="W17" s="331">
        <f t="shared" si="9"/>
        <v>1.3648756576013494</v>
      </c>
      <c r="X17" s="331">
        <f>P17/H17</f>
        <v>5.589695717250001</v>
      </c>
      <c r="Y17" s="332">
        <f t="shared" si="10"/>
        <v>1.9153947275387766</v>
      </c>
      <c r="Z17" s="331">
        <f t="shared" si="3"/>
        <v>0.9425512541170153</v>
      </c>
    </row>
    <row r="18" spans="1:26" s="226" customFormat="1" ht="30" customHeight="1">
      <c r="A18" s="304">
        <v>8</v>
      </c>
      <c r="B18" s="304" t="s">
        <v>125</v>
      </c>
      <c r="C18" s="329">
        <f t="shared" si="4"/>
        <v>234396</v>
      </c>
      <c r="D18" s="329">
        <f>213797+19487</f>
        <v>233284</v>
      </c>
      <c r="E18" s="329">
        <f t="shared" si="11"/>
        <v>1112</v>
      </c>
      <c r="F18" s="329"/>
      <c r="G18" s="329">
        <f t="shared" si="5"/>
        <v>1112</v>
      </c>
      <c r="H18" s="329"/>
      <c r="I18" s="329">
        <v>222</v>
      </c>
      <c r="J18" s="329">
        <v>890</v>
      </c>
      <c r="K18" s="330">
        <f t="shared" si="12"/>
        <v>249684</v>
      </c>
      <c r="L18" s="330">
        <v>232475</v>
      </c>
      <c r="M18" s="330">
        <f t="shared" si="13"/>
        <v>17209</v>
      </c>
      <c r="N18" s="333"/>
      <c r="O18" s="330">
        <f t="shared" si="14"/>
        <v>17209</v>
      </c>
      <c r="P18" s="330">
        <v>1560</v>
      </c>
      <c r="Q18" s="330">
        <v>14759</v>
      </c>
      <c r="R18" s="330">
        <v>890</v>
      </c>
      <c r="S18" s="331">
        <f t="shared" si="6"/>
        <v>1.0652229560231403</v>
      </c>
      <c r="T18" s="331">
        <f t="shared" si="7"/>
        <v>0.9965321239347747</v>
      </c>
      <c r="U18" s="331">
        <f t="shared" si="8"/>
        <v>15.475719424460431</v>
      </c>
      <c r="V18" s="331"/>
      <c r="W18" s="331">
        <f t="shared" si="9"/>
        <v>15.475719424460431</v>
      </c>
      <c r="X18" s="331"/>
      <c r="Y18" s="332">
        <f t="shared" si="10"/>
        <v>66.48198198198199</v>
      </c>
      <c r="Z18" s="331">
        <f t="shared" si="3"/>
        <v>1</v>
      </c>
    </row>
    <row r="19" spans="1:26" s="226" customFormat="1" ht="30" customHeight="1">
      <c r="A19" s="304">
        <v>9</v>
      </c>
      <c r="B19" s="304" t="s">
        <v>39</v>
      </c>
      <c r="C19" s="329">
        <f t="shared" si="4"/>
        <v>122009</v>
      </c>
      <c r="D19" s="329">
        <f>115948+4257</f>
        <v>120205</v>
      </c>
      <c r="E19" s="329">
        <f t="shared" si="11"/>
        <v>1804</v>
      </c>
      <c r="F19" s="329"/>
      <c r="G19" s="329">
        <f t="shared" si="5"/>
        <v>1804</v>
      </c>
      <c r="H19" s="329"/>
      <c r="I19" s="329">
        <v>304</v>
      </c>
      <c r="J19" s="329">
        <v>1500</v>
      </c>
      <c r="K19" s="330">
        <f t="shared" si="12"/>
        <v>132061</v>
      </c>
      <c r="L19" s="330">
        <v>120205</v>
      </c>
      <c r="M19" s="330">
        <f t="shared" si="13"/>
        <v>11856</v>
      </c>
      <c r="N19" s="330"/>
      <c r="O19" s="330">
        <f t="shared" si="14"/>
        <v>11856</v>
      </c>
      <c r="P19" s="330">
        <v>1680</v>
      </c>
      <c r="Q19" s="330">
        <v>8598</v>
      </c>
      <c r="R19" s="330">
        <v>1578</v>
      </c>
      <c r="S19" s="331">
        <f t="shared" si="6"/>
        <v>1.0823873648665263</v>
      </c>
      <c r="T19" s="331">
        <f t="shared" si="7"/>
        <v>1</v>
      </c>
      <c r="U19" s="331">
        <f t="shared" si="8"/>
        <v>6.572062084257206</v>
      </c>
      <c r="V19" s="331"/>
      <c r="W19" s="331">
        <f t="shared" si="9"/>
        <v>6.572062084257206</v>
      </c>
      <c r="X19" s="331"/>
      <c r="Y19" s="332">
        <f t="shared" si="10"/>
        <v>28.282894736842106</v>
      </c>
      <c r="Z19" s="331">
        <f t="shared" si="3"/>
        <v>1.052</v>
      </c>
    </row>
    <row r="20" spans="1:26" s="226" customFormat="1" ht="30" customHeight="1">
      <c r="A20" s="304">
        <v>10</v>
      </c>
      <c r="B20" s="304" t="s">
        <v>40</v>
      </c>
      <c r="C20" s="329">
        <f t="shared" si="4"/>
        <v>526751</v>
      </c>
      <c r="D20" s="329">
        <f>423470+10681</f>
        <v>434151</v>
      </c>
      <c r="E20" s="329">
        <f t="shared" si="11"/>
        <v>92600</v>
      </c>
      <c r="F20" s="329"/>
      <c r="G20" s="329">
        <f t="shared" si="5"/>
        <v>92600</v>
      </c>
      <c r="H20" s="329"/>
      <c r="I20" s="329">
        <v>545</v>
      </c>
      <c r="J20" s="329">
        <v>92055</v>
      </c>
      <c r="K20" s="330">
        <f t="shared" si="12"/>
        <v>545313</v>
      </c>
      <c r="L20" s="330">
        <v>434151</v>
      </c>
      <c r="M20" s="330">
        <f t="shared" si="13"/>
        <v>111162</v>
      </c>
      <c r="N20" s="330"/>
      <c r="O20" s="330">
        <f t="shared" si="14"/>
        <v>111162</v>
      </c>
      <c r="P20" s="330">
        <v>600</v>
      </c>
      <c r="Q20" s="330">
        <v>22120</v>
      </c>
      <c r="R20" s="330">
        <v>88442</v>
      </c>
      <c r="S20" s="331">
        <f t="shared" si="6"/>
        <v>1.0352386611510942</v>
      </c>
      <c r="T20" s="331">
        <f t="shared" si="7"/>
        <v>1</v>
      </c>
      <c r="U20" s="331">
        <f t="shared" si="8"/>
        <v>1.2004535637149027</v>
      </c>
      <c r="V20" s="331"/>
      <c r="W20" s="331">
        <f t="shared" si="9"/>
        <v>1.2004535637149027</v>
      </c>
      <c r="X20" s="331"/>
      <c r="Y20" s="332">
        <f>Q20/I20</f>
        <v>40.58715596330275</v>
      </c>
      <c r="Z20" s="331">
        <f t="shared" si="3"/>
        <v>0.9607517245125197</v>
      </c>
    </row>
    <row r="21" spans="1:29" s="228" customFormat="1" ht="24.75" customHeight="1">
      <c r="A21" s="334"/>
      <c r="B21" s="335"/>
      <c r="C21" s="336"/>
      <c r="D21" s="336"/>
      <c r="E21" s="336"/>
      <c r="F21" s="336"/>
      <c r="G21" s="336"/>
      <c r="H21" s="336"/>
      <c r="I21" s="336"/>
      <c r="J21" s="336"/>
      <c r="K21" s="337"/>
      <c r="L21" s="337"/>
      <c r="M21" s="337"/>
      <c r="N21" s="337"/>
      <c r="O21" s="337"/>
      <c r="P21" s="337"/>
      <c r="Q21" s="337"/>
      <c r="R21" s="337"/>
      <c r="S21" s="337"/>
      <c r="T21" s="337"/>
      <c r="U21" s="337"/>
      <c r="V21" s="337"/>
      <c r="W21" s="337"/>
      <c r="X21" s="337"/>
      <c r="Y21" s="338"/>
      <c r="Z21" s="337"/>
      <c r="AA21" s="227"/>
      <c r="AB21" s="227"/>
      <c r="AC21" s="227"/>
    </row>
    <row r="22" spans="1:26" s="231" customFormat="1" ht="15.75">
      <c r="A22" s="229"/>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44"/>
      <c r="Z22" s="230"/>
    </row>
    <row r="23" spans="1:25" s="231" customFormat="1" ht="15.75" hidden="1">
      <c r="A23" s="232" t="s">
        <v>428</v>
      </c>
      <c r="Y23" s="245"/>
    </row>
    <row r="24" s="231" customFormat="1" ht="15" hidden="1">
      <c r="Y24" s="245"/>
    </row>
    <row r="25" spans="11:25" s="231" customFormat="1" ht="15" hidden="1">
      <c r="K25" s="233"/>
      <c r="L25" s="233"/>
      <c r="Y25" s="245"/>
    </row>
    <row r="26" spans="11:25" s="231" customFormat="1" ht="15" hidden="1">
      <c r="K26" s="233"/>
      <c r="Y26" s="245"/>
    </row>
    <row r="27" s="231" customFormat="1" ht="15" hidden="1">
      <c r="Y27" s="245"/>
    </row>
    <row r="28" spans="10:25" s="231" customFormat="1" ht="15" hidden="1">
      <c r="J28" s="231" t="s">
        <v>355</v>
      </c>
      <c r="K28" s="234"/>
      <c r="Y28" s="245"/>
    </row>
    <row r="29" spans="10:25" s="231" customFormat="1" ht="15" hidden="1">
      <c r="J29" s="231" t="s">
        <v>356</v>
      </c>
      <c r="K29" s="233"/>
      <c r="Y29" s="245"/>
    </row>
    <row r="30" spans="11:25" s="231" customFormat="1" ht="15" hidden="1">
      <c r="K30" s="234"/>
      <c r="Y30" s="245"/>
    </row>
    <row r="31" spans="11:25" s="231" customFormat="1" ht="15">
      <c r="K31" s="235"/>
      <c r="L31" s="239"/>
      <c r="N31" s="233"/>
      <c r="Y31" s="245"/>
    </row>
    <row r="32" ht="15">
      <c r="L32" s="236"/>
    </row>
    <row r="33" spans="11:14" ht="15.75">
      <c r="K33" s="236"/>
      <c r="L33" s="237"/>
      <c r="N33" s="236"/>
    </row>
    <row r="34" ht="15">
      <c r="L34" s="238"/>
    </row>
    <row r="35" ht="15">
      <c r="L35" s="238"/>
    </row>
  </sheetData>
  <sheetProtection/>
  <mergeCells count="33">
    <mergeCell ref="X4:Z4"/>
    <mergeCell ref="X1:Z1"/>
    <mergeCell ref="S6:S8"/>
    <mergeCell ref="A2:Z2"/>
    <mergeCell ref="A3:Z3"/>
    <mergeCell ref="N7:O7"/>
    <mergeCell ref="P7:P8"/>
    <mergeCell ref="Q7:Q8"/>
    <mergeCell ref="R7:R8"/>
    <mergeCell ref="K6:K8"/>
    <mergeCell ref="E7:E8"/>
    <mergeCell ref="F7:G7"/>
    <mergeCell ref="Y7:Y8"/>
    <mergeCell ref="X7:X8"/>
    <mergeCell ref="I7:I8"/>
    <mergeCell ref="J7:J8"/>
    <mergeCell ref="U7:U8"/>
    <mergeCell ref="S5:Z5"/>
    <mergeCell ref="M7:M8"/>
    <mergeCell ref="T6:T8"/>
    <mergeCell ref="V7:W7"/>
    <mergeCell ref="U6:Z6"/>
    <mergeCell ref="Z7:Z8"/>
    <mergeCell ref="A5:A8"/>
    <mergeCell ref="B5:B8"/>
    <mergeCell ref="C5:J5"/>
    <mergeCell ref="K5:R5"/>
    <mergeCell ref="M6:R6"/>
    <mergeCell ref="L6:L8"/>
    <mergeCell ref="H7:H8"/>
    <mergeCell ref="C6:C8"/>
    <mergeCell ref="E6:J6"/>
    <mergeCell ref="D6:D8"/>
  </mergeCells>
  <printOptions horizontalCentered="1"/>
  <pageMargins left="0" right="0" top="0.7086614173228347" bottom="0" header="0.31496062992125984" footer="0.31496062992125984"/>
  <pageSetup horizontalDpi="600" verticalDpi="600" orientation="landscape" paperSize="8" scale="75" r:id="rId1"/>
</worksheet>
</file>

<file path=xl/worksheets/sheet9.xml><?xml version="1.0" encoding="utf-8"?>
<worksheet xmlns="http://schemas.openxmlformats.org/spreadsheetml/2006/main" xmlns:r="http://schemas.openxmlformats.org/officeDocument/2006/relationships">
  <sheetPr>
    <tabColor indexed="10"/>
  </sheetPr>
  <dimension ref="A1:Z36"/>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M4" sqref="M4"/>
    </sheetView>
  </sheetViews>
  <sheetFormatPr defaultColWidth="9.140625" defaultRowHeight="15"/>
  <cols>
    <col min="1" max="1" width="5.00390625" style="0" customWidth="1"/>
    <col min="2" max="2" width="25.28125" style="0" customWidth="1"/>
    <col min="3" max="3" width="8.00390625" style="0" customWidth="1"/>
    <col min="4" max="4" width="7.57421875" style="0" customWidth="1"/>
    <col min="5" max="5" width="8.00390625" style="0" customWidth="1"/>
    <col min="6" max="7" width="10.140625" style="0" customWidth="1"/>
    <col min="8" max="8" width="10.421875" style="0" customWidth="1"/>
    <col min="9" max="9" width="9.7109375" style="0" customWidth="1"/>
    <col min="10" max="10" width="10.7109375" style="0" customWidth="1"/>
    <col min="11" max="11" width="10.00390625" style="0" customWidth="1"/>
    <col min="12" max="12" width="6.8515625" style="0" customWidth="1"/>
    <col min="13" max="13" width="6.140625" style="0" customWidth="1"/>
    <col min="14" max="15" width="10.7109375" style="0" customWidth="1"/>
    <col min="16" max="16" width="6.28125" style="0" customWidth="1"/>
    <col min="17" max="17" width="6.7109375" style="0" customWidth="1"/>
    <col min="18" max="18" width="7.140625" style="0" customWidth="1"/>
    <col min="19" max="19" width="7.00390625" style="0" customWidth="1"/>
    <col min="20" max="21" width="0" style="0" hidden="1" customWidth="1"/>
    <col min="22" max="22" width="1.57421875" style="0" customWidth="1"/>
  </cols>
  <sheetData>
    <row r="1" spans="17:19" ht="33.75" customHeight="1">
      <c r="Q1" s="360" t="s">
        <v>328</v>
      </c>
      <c r="R1" s="360"/>
      <c r="S1" s="360"/>
    </row>
    <row r="2" spans="1:19" ht="31.5" customHeight="1">
      <c r="A2" s="432" t="s">
        <v>296</v>
      </c>
      <c r="B2" s="432"/>
      <c r="C2" s="432"/>
      <c r="D2" s="432"/>
      <c r="E2" s="432"/>
      <c r="F2" s="432"/>
      <c r="G2" s="432"/>
      <c r="H2" s="432"/>
      <c r="I2" s="432"/>
      <c r="J2" s="432"/>
      <c r="K2" s="432"/>
      <c r="L2" s="432"/>
      <c r="M2" s="432"/>
      <c r="N2" s="432"/>
      <c r="O2" s="432"/>
      <c r="P2" s="432"/>
      <c r="Q2" s="432"/>
      <c r="R2" s="432"/>
      <c r="S2" s="432"/>
    </row>
    <row r="3" spans="1:26" ht="30" customHeight="1">
      <c r="A3" s="390" t="s">
        <v>436</v>
      </c>
      <c r="B3" s="390"/>
      <c r="C3" s="390"/>
      <c r="D3" s="390"/>
      <c r="E3" s="390"/>
      <c r="F3" s="390"/>
      <c r="G3" s="390"/>
      <c r="H3" s="390"/>
      <c r="I3" s="390"/>
      <c r="J3" s="390"/>
      <c r="K3" s="390"/>
      <c r="L3" s="390"/>
      <c r="M3" s="390"/>
      <c r="N3" s="390"/>
      <c r="O3" s="390"/>
      <c r="P3" s="390"/>
      <c r="Q3" s="390"/>
      <c r="R3" s="390"/>
      <c r="S3" s="390"/>
      <c r="T3" s="126"/>
      <c r="U3" s="126"/>
      <c r="V3" s="126"/>
      <c r="W3" s="126"/>
      <c r="X3" s="126"/>
      <c r="Y3" s="126"/>
      <c r="Z3" s="126"/>
    </row>
    <row r="4" spans="12:19" ht="24.75" customHeight="1">
      <c r="L4" s="16"/>
      <c r="O4" s="16"/>
      <c r="Q4" s="431" t="s">
        <v>85</v>
      </c>
      <c r="R4" s="431"/>
      <c r="S4" s="431"/>
    </row>
    <row r="5" spans="1:19" ht="30.75" customHeight="1">
      <c r="A5" s="430" t="s">
        <v>81</v>
      </c>
      <c r="B5" s="430" t="s">
        <v>363</v>
      </c>
      <c r="C5" s="430" t="s">
        <v>167</v>
      </c>
      <c r="D5" s="430"/>
      <c r="E5" s="430"/>
      <c r="F5" s="430" t="s">
        <v>208</v>
      </c>
      <c r="G5" s="430"/>
      <c r="H5" s="430"/>
      <c r="I5" s="430"/>
      <c r="J5" s="430"/>
      <c r="K5" s="430"/>
      <c r="L5" s="430"/>
      <c r="M5" s="430"/>
      <c r="N5" s="430"/>
      <c r="O5" s="430"/>
      <c r="P5" s="430"/>
      <c r="Q5" s="430" t="s">
        <v>274</v>
      </c>
      <c r="R5" s="430"/>
      <c r="S5" s="430"/>
    </row>
    <row r="6" spans="1:19" ht="22.5" customHeight="1">
      <c r="A6" s="430"/>
      <c r="B6" s="430"/>
      <c r="C6" s="430" t="s">
        <v>335</v>
      </c>
      <c r="D6" s="430" t="s">
        <v>340</v>
      </c>
      <c r="E6" s="430"/>
      <c r="F6" s="430" t="s">
        <v>335</v>
      </c>
      <c r="G6" s="430" t="s">
        <v>340</v>
      </c>
      <c r="H6" s="430"/>
      <c r="I6" s="430" t="s">
        <v>297</v>
      </c>
      <c r="J6" s="430"/>
      <c r="K6" s="430"/>
      <c r="L6" s="430"/>
      <c r="M6" s="430"/>
      <c r="N6" s="430"/>
      <c r="O6" s="430"/>
      <c r="P6" s="430"/>
      <c r="Q6" s="430" t="s">
        <v>335</v>
      </c>
      <c r="R6" s="430" t="s">
        <v>340</v>
      </c>
      <c r="S6" s="430"/>
    </row>
    <row r="7" spans="1:19" ht="27.75" customHeight="1">
      <c r="A7" s="430"/>
      <c r="B7" s="430"/>
      <c r="C7" s="430"/>
      <c r="D7" s="430" t="s">
        <v>28</v>
      </c>
      <c r="E7" s="430" t="s">
        <v>29</v>
      </c>
      <c r="F7" s="430"/>
      <c r="G7" s="430" t="s">
        <v>28</v>
      </c>
      <c r="H7" s="430" t="s">
        <v>29</v>
      </c>
      <c r="I7" s="430" t="s">
        <v>335</v>
      </c>
      <c r="J7" s="430" t="s">
        <v>272</v>
      </c>
      <c r="K7" s="430"/>
      <c r="L7" s="430"/>
      <c r="M7" s="430"/>
      <c r="N7" s="430" t="s">
        <v>29</v>
      </c>
      <c r="O7" s="430"/>
      <c r="P7" s="430"/>
      <c r="Q7" s="430"/>
      <c r="R7" s="430" t="s">
        <v>272</v>
      </c>
      <c r="S7" s="430" t="s">
        <v>94</v>
      </c>
    </row>
    <row r="8" spans="1:19" ht="21.75" customHeight="1">
      <c r="A8" s="430"/>
      <c r="B8" s="430"/>
      <c r="C8" s="430"/>
      <c r="D8" s="430"/>
      <c r="E8" s="430"/>
      <c r="F8" s="430"/>
      <c r="G8" s="430"/>
      <c r="H8" s="430"/>
      <c r="I8" s="430"/>
      <c r="J8" s="430" t="s">
        <v>335</v>
      </c>
      <c r="K8" s="430" t="s">
        <v>207</v>
      </c>
      <c r="L8" s="430"/>
      <c r="M8" s="430"/>
      <c r="N8" s="430" t="s">
        <v>335</v>
      </c>
      <c r="O8" s="430" t="s">
        <v>207</v>
      </c>
      <c r="P8" s="430"/>
      <c r="Q8" s="430"/>
      <c r="R8" s="430"/>
      <c r="S8" s="430"/>
    </row>
    <row r="9" spans="1:19" ht="48" customHeight="1">
      <c r="A9" s="430"/>
      <c r="B9" s="430"/>
      <c r="C9" s="430"/>
      <c r="D9" s="430"/>
      <c r="E9" s="430"/>
      <c r="F9" s="430"/>
      <c r="G9" s="430"/>
      <c r="H9" s="430"/>
      <c r="I9" s="430"/>
      <c r="J9" s="430"/>
      <c r="K9" s="339" t="s">
        <v>338</v>
      </c>
      <c r="L9" s="339" t="s">
        <v>362</v>
      </c>
      <c r="M9" s="339" t="s">
        <v>30</v>
      </c>
      <c r="N9" s="430"/>
      <c r="O9" s="339" t="s">
        <v>338</v>
      </c>
      <c r="P9" s="339" t="s">
        <v>30</v>
      </c>
      <c r="Q9" s="430"/>
      <c r="R9" s="430"/>
      <c r="S9" s="430"/>
    </row>
    <row r="10" spans="1:19" ht="36.75" customHeight="1">
      <c r="A10" s="339" t="s">
        <v>83</v>
      </c>
      <c r="B10" s="339" t="s">
        <v>84</v>
      </c>
      <c r="C10" s="339">
        <v>1</v>
      </c>
      <c r="D10" s="339">
        <v>2</v>
      </c>
      <c r="E10" s="339">
        <v>3</v>
      </c>
      <c r="F10" s="339">
        <v>5</v>
      </c>
      <c r="G10" s="339">
        <v>6</v>
      </c>
      <c r="H10" s="339">
        <v>7</v>
      </c>
      <c r="I10" s="339">
        <v>8</v>
      </c>
      <c r="J10" s="339">
        <v>9</v>
      </c>
      <c r="K10" s="339">
        <v>10</v>
      </c>
      <c r="L10" s="339"/>
      <c r="M10" s="339">
        <v>11</v>
      </c>
      <c r="N10" s="339">
        <v>12</v>
      </c>
      <c r="O10" s="339">
        <v>13</v>
      </c>
      <c r="P10" s="339">
        <v>14</v>
      </c>
      <c r="Q10" s="339" t="s">
        <v>329</v>
      </c>
      <c r="R10" s="339" t="s">
        <v>330</v>
      </c>
      <c r="S10" s="339" t="s">
        <v>331</v>
      </c>
    </row>
    <row r="11" spans="1:19" ht="30" customHeight="1">
      <c r="A11" s="340"/>
      <c r="B11" s="340" t="s">
        <v>336</v>
      </c>
      <c r="C11" s="341">
        <f aca="true" t="shared" si="0" ref="C11:P11">SUM(C12,C23)</f>
        <v>601848</v>
      </c>
      <c r="D11" s="341">
        <f t="shared" si="0"/>
        <v>414169</v>
      </c>
      <c r="E11" s="341">
        <f t="shared" si="0"/>
        <v>187679</v>
      </c>
      <c r="F11" s="342">
        <f t="shared" si="0"/>
        <v>598256.434579</v>
      </c>
      <c r="G11" s="342">
        <f t="shared" si="0"/>
        <v>424417.7935490001</v>
      </c>
      <c r="H11" s="342">
        <f t="shared" si="0"/>
        <v>173838.64103000003</v>
      </c>
      <c r="I11" s="342">
        <f t="shared" si="0"/>
        <v>598256.434579</v>
      </c>
      <c r="J11" s="342">
        <f t="shared" si="0"/>
        <v>424417.7935490001</v>
      </c>
      <c r="K11" s="342">
        <f t="shared" si="0"/>
        <v>423763.7935490001</v>
      </c>
      <c r="L11" s="342">
        <f t="shared" si="0"/>
        <v>654</v>
      </c>
      <c r="M11" s="342">
        <f t="shared" si="0"/>
        <v>0</v>
      </c>
      <c r="N11" s="342">
        <f t="shared" si="0"/>
        <v>173838.64103000003</v>
      </c>
      <c r="O11" s="342">
        <f t="shared" si="0"/>
        <v>173838.64103000003</v>
      </c>
      <c r="P11" s="342">
        <f t="shared" si="0"/>
        <v>0</v>
      </c>
      <c r="Q11" s="343">
        <f>F11/C11</f>
        <v>0.9940324377234784</v>
      </c>
      <c r="R11" s="343">
        <f>G11/D11</f>
        <v>1.0247454385745918</v>
      </c>
      <c r="S11" s="343">
        <f>H11/E11</f>
        <v>0.9262551539064041</v>
      </c>
    </row>
    <row r="12" spans="1:19" ht="30" customHeight="1">
      <c r="A12" s="344" t="s">
        <v>91</v>
      </c>
      <c r="B12" s="345" t="s">
        <v>320</v>
      </c>
      <c r="C12" s="346">
        <f>SUM(C13:C22)</f>
        <v>13305</v>
      </c>
      <c r="D12" s="346">
        <f aca="true" t="shared" si="1" ref="D12:P12">SUM(D13:D22)</f>
        <v>0</v>
      </c>
      <c r="E12" s="346">
        <f t="shared" si="1"/>
        <v>13305</v>
      </c>
      <c r="F12" s="347">
        <f t="shared" si="1"/>
        <v>13379.192317000001</v>
      </c>
      <c r="G12" s="347">
        <f t="shared" si="1"/>
        <v>174.106</v>
      </c>
      <c r="H12" s="347">
        <f t="shared" si="1"/>
        <v>13205.086317000001</v>
      </c>
      <c r="I12" s="347">
        <f t="shared" si="1"/>
        <v>13379.192317000001</v>
      </c>
      <c r="J12" s="347">
        <f t="shared" si="1"/>
        <v>174.106</v>
      </c>
      <c r="K12" s="347">
        <f t="shared" si="1"/>
        <v>174.106</v>
      </c>
      <c r="L12" s="347">
        <f t="shared" si="1"/>
        <v>0</v>
      </c>
      <c r="M12" s="347">
        <f t="shared" si="1"/>
        <v>0</v>
      </c>
      <c r="N12" s="347">
        <f t="shared" si="1"/>
        <v>13205.086317000001</v>
      </c>
      <c r="O12" s="347">
        <f t="shared" si="1"/>
        <v>13205.086317000001</v>
      </c>
      <c r="P12" s="347">
        <f t="shared" si="1"/>
        <v>0</v>
      </c>
      <c r="Q12" s="348">
        <f aca="true" t="shared" si="2" ref="Q12:Q33">F12/C12</f>
        <v>1.0055762733558813</v>
      </c>
      <c r="R12" s="348"/>
      <c r="S12" s="348">
        <f aca="true" t="shared" si="3" ref="S12:S33">H12/E12</f>
        <v>0.9924905161217589</v>
      </c>
    </row>
    <row r="13" spans="1:19" s="47" customFormat="1" ht="30" customHeight="1">
      <c r="A13" s="349">
        <v>1</v>
      </c>
      <c r="B13" s="350" t="s">
        <v>80</v>
      </c>
      <c r="C13" s="351">
        <f aca="true" t="shared" si="4" ref="C13:C33">SUM(D13:E13)</f>
        <v>950</v>
      </c>
      <c r="D13" s="351"/>
      <c r="E13" s="351">
        <v>950</v>
      </c>
      <c r="F13" s="352">
        <f aca="true" t="shared" si="5" ref="F13:F33">SUM(G13:H13)</f>
        <v>950</v>
      </c>
      <c r="G13" s="352">
        <f aca="true" t="shared" si="6" ref="G13:G33">SUM(J13)</f>
        <v>0</v>
      </c>
      <c r="H13" s="352">
        <f aca="true" t="shared" si="7" ref="H13:H33">SUM(N13)</f>
        <v>950</v>
      </c>
      <c r="I13" s="352">
        <f aca="true" t="shared" si="8" ref="I13:I33">SUM(J13,N13)</f>
        <v>950</v>
      </c>
      <c r="J13" s="352">
        <f aca="true" t="shared" si="9" ref="J13:J33">SUM(K13:M13)</f>
        <v>0</v>
      </c>
      <c r="K13" s="352"/>
      <c r="L13" s="352"/>
      <c r="M13" s="352"/>
      <c r="N13" s="352">
        <f aca="true" t="shared" si="10" ref="N13:N33">SUM(O13:P13)</f>
        <v>950</v>
      </c>
      <c r="O13" s="352">
        <v>950</v>
      </c>
      <c r="P13" s="352"/>
      <c r="Q13" s="353">
        <f t="shared" si="2"/>
        <v>1</v>
      </c>
      <c r="R13" s="353"/>
      <c r="S13" s="353">
        <f t="shared" si="3"/>
        <v>1</v>
      </c>
    </row>
    <row r="14" spans="1:19" s="47" customFormat="1" ht="30" customHeight="1">
      <c r="A14" s="349">
        <v>2</v>
      </c>
      <c r="B14" s="350" t="s">
        <v>298</v>
      </c>
      <c r="C14" s="351">
        <f t="shared" si="4"/>
        <v>6389</v>
      </c>
      <c r="D14" s="351"/>
      <c r="E14" s="351">
        <v>6389</v>
      </c>
      <c r="F14" s="352">
        <f t="shared" si="5"/>
        <v>6346.401</v>
      </c>
      <c r="G14" s="352">
        <f t="shared" si="6"/>
        <v>0</v>
      </c>
      <c r="H14" s="352">
        <f t="shared" si="7"/>
        <v>6346.401</v>
      </c>
      <c r="I14" s="352">
        <f t="shared" si="8"/>
        <v>6346.401</v>
      </c>
      <c r="J14" s="352">
        <f t="shared" si="9"/>
        <v>0</v>
      </c>
      <c r="K14" s="352"/>
      <c r="L14" s="352"/>
      <c r="M14" s="352"/>
      <c r="N14" s="352">
        <f t="shared" si="10"/>
        <v>6346.401</v>
      </c>
      <c r="O14" s="354">
        <f>40+6306.401</f>
        <v>6346.401</v>
      </c>
      <c r="P14" s="352"/>
      <c r="Q14" s="353">
        <f t="shared" si="2"/>
        <v>0.9933324463922366</v>
      </c>
      <c r="R14" s="353"/>
      <c r="S14" s="353">
        <f t="shared" si="3"/>
        <v>0.9933324463922366</v>
      </c>
    </row>
    <row r="15" spans="1:19" s="47" customFormat="1" ht="30" customHeight="1">
      <c r="A15" s="349">
        <v>3</v>
      </c>
      <c r="B15" s="350" t="s">
        <v>300</v>
      </c>
      <c r="C15" s="351">
        <f t="shared" si="4"/>
        <v>50</v>
      </c>
      <c r="D15" s="351"/>
      <c r="E15" s="351">
        <v>50</v>
      </c>
      <c r="F15" s="352">
        <f t="shared" si="5"/>
        <v>50</v>
      </c>
      <c r="G15" s="352">
        <f t="shared" si="6"/>
        <v>0</v>
      </c>
      <c r="H15" s="352">
        <f t="shared" si="7"/>
        <v>50</v>
      </c>
      <c r="I15" s="352">
        <f t="shared" si="8"/>
        <v>50</v>
      </c>
      <c r="J15" s="352">
        <f t="shared" si="9"/>
        <v>0</v>
      </c>
      <c r="K15" s="352"/>
      <c r="L15" s="352"/>
      <c r="M15" s="352"/>
      <c r="N15" s="352">
        <f t="shared" si="10"/>
        <v>50</v>
      </c>
      <c r="O15" s="354">
        <v>50</v>
      </c>
      <c r="P15" s="352"/>
      <c r="Q15" s="353">
        <f t="shared" si="2"/>
        <v>1</v>
      </c>
      <c r="R15" s="353"/>
      <c r="S15" s="353">
        <f t="shared" si="3"/>
        <v>1</v>
      </c>
    </row>
    <row r="16" spans="1:19" s="47" customFormat="1" ht="30" customHeight="1">
      <c r="A16" s="349">
        <v>4</v>
      </c>
      <c r="B16" s="350" t="s">
        <v>74</v>
      </c>
      <c r="C16" s="351">
        <f t="shared" si="4"/>
        <v>50</v>
      </c>
      <c r="D16" s="351"/>
      <c r="E16" s="351">
        <v>50</v>
      </c>
      <c r="F16" s="352">
        <f t="shared" si="5"/>
        <v>50</v>
      </c>
      <c r="G16" s="352">
        <f t="shared" si="6"/>
        <v>0</v>
      </c>
      <c r="H16" s="352">
        <f t="shared" si="7"/>
        <v>50</v>
      </c>
      <c r="I16" s="352">
        <f t="shared" si="8"/>
        <v>50</v>
      </c>
      <c r="J16" s="352">
        <f t="shared" si="9"/>
        <v>0</v>
      </c>
      <c r="K16" s="352"/>
      <c r="L16" s="352"/>
      <c r="M16" s="352"/>
      <c r="N16" s="352">
        <f t="shared" si="10"/>
        <v>50</v>
      </c>
      <c r="O16" s="354">
        <v>50</v>
      </c>
      <c r="P16" s="352"/>
      <c r="Q16" s="353">
        <f t="shared" si="2"/>
        <v>1</v>
      </c>
      <c r="R16" s="353"/>
      <c r="S16" s="353">
        <f t="shared" si="3"/>
        <v>1</v>
      </c>
    </row>
    <row r="17" spans="1:19" s="47" customFormat="1" ht="30" customHeight="1">
      <c r="A17" s="349">
        <v>5</v>
      </c>
      <c r="B17" s="350" t="s">
        <v>79</v>
      </c>
      <c r="C17" s="351">
        <f t="shared" si="4"/>
        <v>555</v>
      </c>
      <c r="D17" s="351"/>
      <c r="E17" s="351">
        <v>555</v>
      </c>
      <c r="F17" s="352">
        <f t="shared" si="5"/>
        <v>554.7465</v>
      </c>
      <c r="G17" s="352">
        <f t="shared" si="6"/>
        <v>0</v>
      </c>
      <c r="H17" s="352">
        <f t="shared" si="7"/>
        <v>554.7465</v>
      </c>
      <c r="I17" s="352">
        <f t="shared" si="8"/>
        <v>554.7465</v>
      </c>
      <c r="J17" s="352">
        <f t="shared" si="9"/>
        <v>0</v>
      </c>
      <c r="K17" s="352"/>
      <c r="L17" s="352"/>
      <c r="M17" s="352"/>
      <c r="N17" s="352">
        <f t="shared" si="10"/>
        <v>554.7465</v>
      </c>
      <c r="O17" s="354">
        <f>224.895+30+299.8515</f>
        <v>554.7465</v>
      </c>
      <c r="P17" s="352"/>
      <c r="Q17" s="353">
        <f t="shared" si="2"/>
        <v>0.9995432432432432</v>
      </c>
      <c r="R17" s="353"/>
      <c r="S17" s="353">
        <f t="shared" si="3"/>
        <v>0.9995432432432432</v>
      </c>
    </row>
    <row r="18" spans="1:19" s="47" customFormat="1" ht="30" customHeight="1">
      <c r="A18" s="349">
        <v>6</v>
      </c>
      <c r="B18" s="350" t="s">
        <v>359</v>
      </c>
      <c r="C18" s="351">
        <f t="shared" si="4"/>
        <v>3000</v>
      </c>
      <c r="D18" s="351"/>
      <c r="E18" s="351">
        <v>3000</v>
      </c>
      <c r="F18" s="352">
        <f t="shared" si="5"/>
        <v>3166.635217</v>
      </c>
      <c r="G18" s="352">
        <f t="shared" si="6"/>
        <v>174.106</v>
      </c>
      <c r="H18" s="352">
        <f t="shared" si="7"/>
        <v>2992.529217</v>
      </c>
      <c r="I18" s="352">
        <f t="shared" si="8"/>
        <v>3166.635217</v>
      </c>
      <c r="J18" s="352">
        <f t="shared" si="9"/>
        <v>174.106</v>
      </c>
      <c r="K18" s="352">
        <v>174.106</v>
      </c>
      <c r="L18" s="352"/>
      <c r="M18" s="352"/>
      <c r="N18" s="352">
        <f t="shared" si="10"/>
        <v>2992.529217</v>
      </c>
      <c r="O18" s="352">
        <v>2992.529217</v>
      </c>
      <c r="P18" s="352"/>
      <c r="Q18" s="353">
        <f t="shared" si="2"/>
        <v>1.0555450723333333</v>
      </c>
      <c r="R18" s="353"/>
      <c r="S18" s="353">
        <f t="shared" si="3"/>
        <v>0.997509739</v>
      </c>
    </row>
    <row r="19" spans="1:19" s="47" customFormat="1" ht="30" customHeight="1">
      <c r="A19" s="349">
        <v>7</v>
      </c>
      <c r="B19" s="355" t="s">
        <v>360</v>
      </c>
      <c r="C19" s="351">
        <f t="shared" si="4"/>
        <v>1365</v>
      </c>
      <c r="D19" s="351"/>
      <c r="E19" s="351">
        <f>565+800</f>
        <v>1365</v>
      </c>
      <c r="F19" s="352">
        <f t="shared" si="5"/>
        <v>1315.4096</v>
      </c>
      <c r="G19" s="352">
        <f t="shared" si="6"/>
        <v>0</v>
      </c>
      <c r="H19" s="352">
        <f t="shared" si="7"/>
        <v>1315.4096</v>
      </c>
      <c r="I19" s="352">
        <f t="shared" si="8"/>
        <v>1315.4096</v>
      </c>
      <c r="J19" s="352">
        <f t="shared" si="9"/>
        <v>0</v>
      </c>
      <c r="K19" s="352"/>
      <c r="L19" s="352"/>
      <c r="M19" s="352"/>
      <c r="N19" s="352">
        <f t="shared" si="10"/>
        <v>1315.4096</v>
      </c>
      <c r="O19" s="354">
        <f>49.3033+1266.1063</f>
        <v>1315.4096</v>
      </c>
      <c r="P19" s="352"/>
      <c r="Q19" s="353">
        <f t="shared" si="2"/>
        <v>0.9636700366300366</v>
      </c>
      <c r="R19" s="353"/>
      <c r="S19" s="353">
        <f t="shared" si="3"/>
        <v>0.9636700366300366</v>
      </c>
    </row>
    <row r="20" spans="1:19" s="47" customFormat="1" ht="30" customHeight="1">
      <c r="A20" s="349">
        <v>8</v>
      </c>
      <c r="B20" s="350" t="s">
        <v>361</v>
      </c>
      <c r="C20" s="351">
        <f t="shared" si="4"/>
        <v>796</v>
      </c>
      <c r="D20" s="351"/>
      <c r="E20" s="351">
        <v>796</v>
      </c>
      <c r="F20" s="352">
        <f t="shared" si="5"/>
        <v>796</v>
      </c>
      <c r="G20" s="352">
        <f t="shared" si="6"/>
        <v>0</v>
      </c>
      <c r="H20" s="352">
        <f t="shared" si="7"/>
        <v>796</v>
      </c>
      <c r="I20" s="352">
        <f t="shared" si="8"/>
        <v>796</v>
      </c>
      <c r="J20" s="352">
        <f t="shared" si="9"/>
        <v>0</v>
      </c>
      <c r="K20" s="352"/>
      <c r="L20" s="352"/>
      <c r="M20" s="352"/>
      <c r="N20" s="352">
        <f t="shared" si="10"/>
        <v>796</v>
      </c>
      <c r="O20" s="352">
        <f>294+184+118+200</f>
        <v>796</v>
      </c>
      <c r="P20" s="352"/>
      <c r="Q20" s="353">
        <f t="shared" si="2"/>
        <v>1</v>
      </c>
      <c r="R20" s="353"/>
      <c r="S20" s="353">
        <f t="shared" si="3"/>
        <v>1</v>
      </c>
    </row>
    <row r="21" spans="1:19" s="47" customFormat="1" ht="30" customHeight="1">
      <c r="A21" s="349">
        <v>9</v>
      </c>
      <c r="B21" s="350" t="s">
        <v>357</v>
      </c>
      <c r="C21" s="351">
        <f t="shared" si="4"/>
        <v>50</v>
      </c>
      <c r="D21" s="351"/>
      <c r="E21" s="351">
        <v>50</v>
      </c>
      <c r="F21" s="352">
        <f t="shared" si="5"/>
        <v>50</v>
      </c>
      <c r="G21" s="352">
        <f t="shared" si="6"/>
        <v>0</v>
      </c>
      <c r="H21" s="352">
        <f t="shared" si="7"/>
        <v>50</v>
      </c>
      <c r="I21" s="352">
        <f t="shared" si="8"/>
        <v>50</v>
      </c>
      <c r="J21" s="352">
        <f t="shared" si="9"/>
        <v>0</v>
      </c>
      <c r="K21" s="352"/>
      <c r="L21" s="352"/>
      <c r="M21" s="352"/>
      <c r="N21" s="352">
        <f t="shared" si="10"/>
        <v>50</v>
      </c>
      <c r="O21" s="354">
        <v>50</v>
      </c>
      <c r="P21" s="352"/>
      <c r="Q21" s="353">
        <f t="shared" si="2"/>
        <v>1</v>
      </c>
      <c r="R21" s="353"/>
      <c r="S21" s="353">
        <f t="shared" si="3"/>
        <v>1</v>
      </c>
    </row>
    <row r="22" spans="1:19" s="47" customFormat="1" ht="30" customHeight="1">
      <c r="A22" s="349">
        <v>10</v>
      </c>
      <c r="B22" s="350" t="s">
        <v>299</v>
      </c>
      <c r="C22" s="351">
        <f t="shared" si="4"/>
        <v>100</v>
      </c>
      <c r="D22" s="351"/>
      <c r="E22" s="351">
        <v>100</v>
      </c>
      <c r="F22" s="352">
        <f t="shared" si="5"/>
        <v>100</v>
      </c>
      <c r="G22" s="352">
        <f t="shared" si="6"/>
        <v>0</v>
      </c>
      <c r="H22" s="352">
        <f t="shared" si="7"/>
        <v>100</v>
      </c>
      <c r="I22" s="352">
        <f t="shared" si="8"/>
        <v>100</v>
      </c>
      <c r="J22" s="352">
        <f t="shared" si="9"/>
        <v>0</v>
      </c>
      <c r="K22" s="352"/>
      <c r="L22" s="352"/>
      <c r="M22" s="352"/>
      <c r="N22" s="352">
        <f t="shared" si="10"/>
        <v>100</v>
      </c>
      <c r="O22" s="354">
        <v>100</v>
      </c>
      <c r="P22" s="352"/>
      <c r="Q22" s="353">
        <f t="shared" si="2"/>
        <v>1</v>
      </c>
      <c r="R22" s="353"/>
      <c r="S22" s="353">
        <f t="shared" si="3"/>
        <v>1</v>
      </c>
    </row>
    <row r="23" spans="1:19" s="47" customFormat="1" ht="30" customHeight="1">
      <c r="A23" s="344" t="s">
        <v>87</v>
      </c>
      <c r="B23" s="345" t="s">
        <v>321</v>
      </c>
      <c r="C23" s="346">
        <f aca="true" t="shared" si="11" ref="C23:I23">SUM(C24:C33)</f>
        <v>588543</v>
      </c>
      <c r="D23" s="346">
        <f>SUM(D24:D33)</f>
        <v>414169</v>
      </c>
      <c r="E23" s="346">
        <f t="shared" si="11"/>
        <v>174374</v>
      </c>
      <c r="F23" s="347">
        <f t="shared" si="11"/>
        <v>584877.242262</v>
      </c>
      <c r="G23" s="347">
        <f t="shared" si="11"/>
        <v>424243.6875490001</v>
      </c>
      <c r="H23" s="347">
        <f t="shared" si="11"/>
        <v>160633.55471300002</v>
      </c>
      <c r="I23" s="347">
        <f t="shared" si="11"/>
        <v>584877.242262</v>
      </c>
      <c r="J23" s="347">
        <f aca="true" t="shared" si="12" ref="J23:P23">SUM(J24:J33)</f>
        <v>424243.6875490001</v>
      </c>
      <c r="K23" s="347">
        <f>SUM(K24:K33)</f>
        <v>423589.6875490001</v>
      </c>
      <c r="L23" s="347">
        <f t="shared" si="12"/>
        <v>654</v>
      </c>
      <c r="M23" s="347">
        <f t="shared" si="12"/>
        <v>0</v>
      </c>
      <c r="N23" s="347">
        <f t="shared" si="12"/>
        <v>160633.55471300002</v>
      </c>
      <c r="O23" s="347">
        <f t="shared" si="12"/>
        <v>160633.55471300002</v>
      </c>
      <c r="P23" s="347">
        <f t="shared" si="12"/>
        <v>0</v>
      </c>
      <c r="Q23" s="348">
        <f t="shared" si="2"/>
        <v>0.9937714699894485</v>
      </c>
      <c r="R23" s="348">
        <f aca="true" t="shared" si="13" ref="R23:R33">G23/D23</f>
        <v>1.0243250642829378</v>
      </c>
      <c r="S23" s="348">
        <f t="shared" si="3"/>
        <v>0.9212012955658528</v>
      </c>
    </row>
    <row r="24" spans="1:19" s="47" customFormat="1" ht="30" customHeight="1">
      <c r="A24" s="356">
        <v>1</v>
      </c>
      <c r="B24" s="303" t="s">
        <v>33</v>
      </c>
      <c r="C24" s="351">
        <f t="shared" si="4"/>
        <v>61976</v>
      </c>
      <c r="D24" s="351">
        <v>40468</v>
      </c>
      <c r="E24" s="351">
        <v>21508</v>
      </c>
      <c r="F24" s="352">
        <f t="shared" si="5"/>
        <v>54640.67434500001</v>
      </c>
      <c r="G24" s="352">
        <f t="shared" si="6"/>
        <v>33543.960247</v>
      </c>
      <c r="H24" s="352">
        <f t="shared" si="7"/>
        <v>21096.714098</v>
      </c>
      <c r="I24" s="352">
        <f t="shared" si="8"/>
        <v>54640.67434500001</v>
      </c>
      <c r="J24" s="352">
        <f t="shared" si="9"/>
        <v>33543.960247</v>
      </c>
      <c r="K24" s="357">
        <f>33543.960247-L24-M24</f>
        <v>33543.960247</v>
      </c>
      <c r="L24" s="352"/>
      <c r="M24" s="352"/>
      <c r="N24" s="352">
        <f t="shared" si="10"/>
        <v>21096.714098</v>
      </c>
      <c r="O24" s="352">
        <v>21096.714098</v>
      </c>
      <c r="P24" s="352"/>
      <c r="Q24" s="353">
        <f t="shared" si="2"/>
        <v>0.8816424800729316</v>
      </c>
      <c r="R24" s="353">
        <f t="shared" si="13"/>
        <v>0.8289008660423051</v>
      </c>
      <c r="S24" s="353">
        <f t="shared" si="3"/>
        <v>0.9808775384973033</v>
      </c>
    </row>
    <row r="25" spans="1:19" s="47" customFormat="1" ht="30" customHeight="1">
      <c r="A25" s="356">
        <v>2</v>
      </c>
      <c r="B25" s="303" t="s">
        <v>31</v>
      </c>
      <c r="C25" s="351">
        <f t="shared" si="4"/>
        <v>75593</v>
      </c>
      <c r="D25" s="351">
        <f>57551+2370</f>
        <v>59921</v>
      </c>
      <c r="E25" s="351">
        <v>15672</v>
      </c>
      <c r="F25" s="352">
        <f t="shared" si="5"/>
        <v>79288.479531</v>
      </c>
      <c r="G25" s="352">
        <f t="shared" si="6"/>
        <v>63617.0345</v>
      </c>
      <c r="H25" s="352">
        <f t="shared" si="7"/>
        <v>15671.445031</v>
      </c>
      <c r="I25" s="352">
        <f t="shared" si="8"/>
        <v>79288.479531</v>
      </c>
      <c r="J25" s="352">
        <f t="shared" si="9"/>
        <v>63617.0345</v>
      </c>
      <c r="K25" s="352">
        <f>63617.0345-L25-M25</f>
        <v>62963.0345</v>
      </c>
      <c r="L25" s="352">
        <v>654</v>
      </c>
      <c r="M25" s="352"/>
      <c r="N25" s="352">
        <f t="shared" si="10"/>
        <v>15671.445031</v>
      </c>
      <c r="O25" s="352">
        <v>15671.445031</v>
      </c>
      <c r="P25" s="352"/>
      <c r="Q25" s="353">
        <f t="shared" si="2"/>
        <v>1.0488865309089466</v>
      </c>
      <c r="R25" s="353">
        <f t="shared" si="13"/>
        <v>1.0616817893559853</v>
      </c>
      <c r="S25" s="353">
        <f t="shared" si="3"/>
        <v>0.9999645885017866</v>
      </c>
    </row>
    <row r="26" spans="1:19" s="47" customFormat="1" ht="30" customHeight="1">
      <c r="A26" s="356">
        <v>3</v>
      </c>
      <c r="B26" s="303" t="s">
        <v>32</v>
      </c>
      <c r="C26" s="351">
        <f t="shared" si="4"/>
        <v>61774</v>
      </c>
      <c r="D26" s="351">
        <f>42154+191</f>
        <v>42345</v>
      </c>
      <c r="E26" s="351">
        <v>19429</v>
      </c>
      <c r="F26" s="352">
        <f t="shared" si="5"/>
        <v>63703.136912999995</v>
      </c>
      <c r="G26" s="352">
        <f t="shared" si="6"/>
        <v>45292.100297</v>
      </c>
      <c r="H26" s="352">
        <f t="shared" si="7"/>
        <v>18411.036616</v>
      </c>
      <c r="I26" s="352">
        <f t="shared" si="8"/>
        <v>63703.136912999995</v>
      </c>
      <c r="J26" s="352">
        <f t="shared" si="9"/>
        <v>45292.100297</v>
      </c>
      <c r="K26" s="352">
        <f>45292.100297-L26-M26</f>
        <v>45292.100297</v>
      </c>
      <c r="L26" s="352"/>
      <c r="M26" s="352"/>
      <c r="N26" s="352">
        <f t="shared" si="10"/>
        <v>18411.036616</v>
      </c>
      <c r="O26" s="352">
        <v>18411.036616</v>
      </c>
      <c r="P26" s="352"/>
      <c r="Q26" s="353">
        <f t="shared" si="2"/>
        <v>1.0312289460452617</v>
      </c>
      <c r="R26" s="353">
        <f t="shared" si="13"/>
        <v>1.0695973620734442</v>
      </c>
      <c r="S26" s="353">
        <f t="shared" si="3"/>
        <v>0.9476059815739359</v>
      </c>
    </row>
    <row r="27" spans="1:19" s="47" customFormat="1" ht="30" customHeight="1">
      <c r="A27" s="356">
        <v>4</v>
      </c>
      <c r="B27" s="303" t="s">
        <v>34</v>
      </c>
      <c r="C27" s="351">
        <f t="shared" si="4"/>
        <v>52755</v>
      </c>
      <c r="D27" s="351">
        <f>40618+215</f>
        <v>40833</v>
      </c>
      <c r="E27" s="351">
        <v>11922</v>
      </c>
      <c r="F27" s="352">
        <f t="shared" si="5"/>
        <v>62455.504344</v>
      </c>
      <c r="G27" s="352">
        <f t="shared" si="6"/>
        <v>50607.318244</v>
      </c>
      <c r="H27" s="352">
        <f t="shared" si="7"/>
        <v>11848.1861</v>
      </c>
      <c r="I27" s="352">
        <f t="shared" si="8"/>
        <v>62455.504344</v>
      </c>
      <c r="J27" s="352">
        <f t="shared" si="9"/>
        <v>50607.318244</v>
      </c>
      <c r="K27" s="352">
        <f>50607.318244-L27-M27</f>
        <v>50607.318244</v>
      </c>
      <c r="L27" s="352"/>
      <c r="M27" s="352"/>
      <c r="N27" s="352">
        <f t="shared" si="10"/>
        <v>11848.1861</v>
      </c>
      <c r="O27" s="352">
        <v>11848.1861</v>
      </c>
      <c r="P27" s="352"/>
      <c r="Q27" s="353">
        <f t="shared" si="2"/>
        <v>1.1838783877168042</v>
      </c>
      <c r="R27" s="353">
        <f t="shared" si="13"/>
        <v>1.2393730131021479</v>
      </c>
      <c r="S27" s="353">
        <f t="shared" si="3"/>
        <v>0.9938085975507466</v>
      </c>
    </row>
    <row r="28" spans="1:19" s="47" customFormat="1" ht="30" customHeight="1">
      <c r="A28" s="356">
        <v>5</v>
      </c>
      <c r="B28" s="303" t="s">
        <v>35</v>
      </c>
      <c r="C28" s="351">
        <f t="shared" si="4"/>
        <v>69198</v>
      </c>
      <c r="D28" s="351">
        <v>47641</v>
      </c>
      <c r="E28" s="351">
        <v>21557</v>
      </c>
      <c r="F28" s="352">
        <f t="shared" si="5"/>
        <v>82090.088565</v>
      </c>
      <c r="G28" s="352">
        <f t="shared" si="6"/>
        <v>61078.083515</v>
      </c>
      <c r="H28" s="352">
        <f t="shared" si="7"/>
        <v>21012.00505</v>
      </c>
      <c r="I28" s="352">
        <f t="shared" si="8"/>
        <v>82090.088565</v>
      </c>
      <c r="J28" s="352">
        <f t="shared" si="9"/>
        <v>61078.083515</v>
      </c>
      <c r="K28" s="352">
        <f>61078.083515-L28-M28</f>
        <v>61078.083515</v>
      </c>
      <c r="L28" s="352"/>
      <c r="M28" s="352"/>
      <c r="N28" s="352">
        <f t="shared" si="10"/>
        <v>21012.00505</v>
      </c>
      <c r="O28" s="352">
        <v>21012.00505</v>
      </c>
      <c r="P28" s="352"/>
      <c r="Q28" s="353">
        <f t="shared" si="2"/>
        <v>1.1863072424781063</v>
      </c>
      <c r="R28" s="353">
        <f t="shared" si="13"/>
        <v>1.2820487293507692</v>
      </c>
      <c r="S28" s="353">
        <f t="shared" si="3"/>
        <v>0.9747184232499884</v>
      </c>
    </row>
    <row r="29" spans="1:19" s="47" customFormat="1" ht="30" customHeight="1">
      <c r="A29" s="356">
        <v>6</v>
      </c>
      <c r="B29" s="303" t="s">
        <v>36</v>
      </c>
      <c r="C29" s="351">
        <f t="shared" si="4"/>
        <v>90601</v>
      </c>
      <c r="D29" s="351">
        <f>48770+15820</f>
        <v>64590</v>
      </c>
      <c r="E29" s="351">
        <v>26011</v>
      </c>
      <c r="F29" s="352">
        <f t="shared" si="5"/>
        <v>95895.73671299999</v>
      </c>
      <c r="G29" s="352">
        <f t="shared" si="6"/>
        <v>71493.10604</v>
      </c>
      <c r="H29" s="352">
        <f t="shared" si="7"/>
        <v>24402.630673</v>
      </c>
      <c r="I29" s="352">
        <f t="shared" si="8"/>
        <v>95895.73671299999</v>
      </c>
      <c r="J29" s="352">
        <f t="shared" si="9"/>
        <v>71493.10604</v>
      </c>
      <c r="K29" s="352">
        <f>71493.10604-L29-M29</f>
        <v>71493.10604</v>
      </c>
      <c r="L29" s="352"/>
      <c r="M29" s="352"/>
      <c r="N29" s="352">
        <f t="shared" si="10"/>
        <v>24402.630673</v>
      </c>
      <c r="O29" s="352">
        <v>24402.630673</v>
      </c>
      <c r="P29" s="352"/>
      <c r="Q29" s="353">
        <f t="shared" si="2"/>
        <v>1.0584401575368925</v>
      </c>
      <c r="R29" s="353">
        <f t="shared" si="13"/>
        <v>1.1068757708623627</v>
      </c>
      <c r="S29" s="353">
        <f t="shared" si="3"/>
        <v>0.9381658018915074</v>
      </c>
    </row>
    <row r="30" spans="1:19" s="47" customFormat="1" ht="30" customHeight="1">
      <c r="A30" s="356">
        <v>7</v>
      </c>
      <c r="B30" s="303" t="s">
        <v>37</v>
      </c>
      <c r="C30" s="351">
        <f t="shared" si="4"/>
        <v>82201</v>
      </c>
      <c r="D30" s="351">
        <f>53468+3989</f>
        <v>57457</v>
      </c>
      <c r="E30" s="351">
        <v>24744</v>
      </c>
      <c r="F30" s="352">
        <f t="shared" si="5"/>
        <v>75026.569705</v>
      </c>
      <c r="G30" s="352">
        <f t="shared" si="6"/>
        <v>50945.083165</v>
      </c>
      <c r="H30" s="352">
        <f t="shared" si="7"/>
        <v>24081.48654</v>
      </c>
      <c r="I30" s="352">
        <f t="shared" si="8"/>
        <v>75026.569705</v>
      </c>
      <c r="J30" s="352">
        <f t="shared" si="9"/>
        <v>50945.083165</v>
      </c>
      <c r="K30" s="352">
        <f>50945.083165-L30-M30</f>
        <v>50945.083165</v>
      </c>
      <c r="L30" s="352"/>
      <c r="M30" s="352"/>
      <c r="N30" s="352">
        <f t="shared" si="10"/>
        <v>24081.48654</v>
      </c>
      <c r="O30" s="352">
        <v>24081.48654</v>
      </c>
      <c r="P30" s="352"/>
      <c r="Q30" s="353">
        <f t="shared" si="2"/>
        <v>0.9127208878845756</v>
      </c>
      <c r="R30" s="353">
        <f t="shared" si="13"/>
        <v>0.88666451720417</v>
      </c>
      <c r="S30" s="353">
        <f t="shared" si="3"/>
        <v>0.9732252885548013</v>
      </c>
    </row>
    <row r="31" spans="1:19" s="47" customFormat="1" ht="30" customHeight="1">
      <c r="A31" s="356">
        <v>8</v>
      </c>
      <c r="B31" s="303" t="s">
        <v>38</v>
      </c>
      <c r="C31" s="351">
        <f t="shared" si="4"/>
        <v>890</v>
      </c>
      <c r="D31" s="351">
        <v>600</v>
      </c>
      <c r="E31" s="351">
        <v>290</v>
      </c>
      <c r="F31" s="352">
        <f t="shared" si="5"/>
        <v>1220.404</v>
      </c>
      <c r="G31" s="352">
        <f t="shared" si="6"/>
        <v>955.215</v>
      </c>
      <c r="H31" s="352">
        <f t="shared" si="7"/>
        <v>265.189</v>
      </c>
      <c r="I31" s="352">
        <f t="shared" si="8"/>
        <v>1220.404</v>
      </c>
      <c r="J31" s="352">
        <f t="shared" si="9"/>
        <v>955.215</v>
      </c>
      <c r="K31" s="352">
        <f>955.215-L31-M31</f>
        <v>955.215</v>
      </c>
      <c r="L31" s="352"/>
      <c r="M31" s="352"/>
      <c r="N31" s="352">
        <f t="shared" si="10"/>
        <v>265.189</v>
      </c>
      <c r="O31" s="352">
        <v>265.189</v>
      </c>
      <c r="P31" s="352"/>
      <c r="Q31" s="353">
        <f t="shared" si="2"/>
        <v>1.3712404494382022</v>
      </c>
      <c r="R31" s="353">
        <f t="shared" si="13"/>
        <v>1.592025</v>
      </c>
      <c r="S31" s="353">
        <f t="shared" si="3"/>
        <v>0.9144448275862069</v>
      </c>
    </row>
    <row r="32" spans="1:19" s="47" customFormat="1" ht="30" customHeight="1">
      <c r="A32" s="356">
        <v>9</v>
      </c>
      <c r="B32" s="303" t="s">
        <v>39</v>
      </c>
      <c r="C32" s="351">
        <f t="shared" si="4"/>
        <v>1500</v>
      </c>
      <c r="D32" s="351">
        <v>1152</v>
      </c>
      <c r="E32" s="351">
        <v>348</v>
      </c>
      <c r="F32" s="352">
        <f t="shared" si="5"/>
        <v>2053.038</v>
      </c>
      <c r="G32" s="352">
        <f t="shared" si="6"/>
        <v>1745.038</v>
      </c>
      <c r="H32" s="352">
        <f t="shared" si="7"/>
        <v>308</v>
      </c>
      <c r="I32" s="352">
        <f t="shared" si="8"/>
        <v>2053.038</v>
      </c>
      <c r="J32" s="352">
        <f t="shared" si="9"/>
        <v>1745.038</v>
      </c>
      <c r="K32" s="352">
        <f>1745.038-L32-M32</f>
        <v>1745.038</v>
      </c>
      <c r="L32" s="352"/>
      <c r="M32" s="352"/>
      <c r="N32" s="352">
        <f t="shared" si="10"/>
        <v>308</v>
      </c>
      <c r="O32" s="352">
        <v>308</v>
      </c>
      <c r="P32" s="352"/>
      <c r="Q32" s="353">
        <f t="shared" si="2"/>
        <v>1.368692</v>
      </c>
      <c r="R32" s="353">
        <f t="shared" si="13"/>
        <v>1.5147899305555557</v>
      </c>
      <c r="S32" s="353">
        <f t="shared" si="3"/>
        <v>0.8850574712643678</v>
      </c>
    </row>
    <row r="33" spans="1:19" s="47" customFormat="1" ht="30" customHeight="1">
      <c r="A33" s="356">
        <v>10</v>
      </c>
      <c r="B33" s="303" t="s">
        <v>40</v>
      </c>
      <c r="C33" s="351">
        <f t="shared" si="4"/>
        <v>92055</v>
      </c>
      <c r="D33" s="351">
        <v>59162</v>
      </c>
      <c r="E33" s="351">
        <v>32893</v>
      </c>
      <c r="F33" s="352">
        <f t="shared" si="5"/>
        <v>68503.61014599999</v>
      </c>
      <c r="G33" s="352">
        <f t="shared" si="6"/>
        <v>44966.748541</v>
      </c>
      <c r="H33" s="352">
        <f t="shared" si="7"/>
        <v>23536.861605</v>
      </c>
      <c r="I33" s="352">
        <f t="shared" si="8"/>
        <v>68503.61014599999</v>
      </c>
      <c r="J33" s="352">
        <f t="shared" si="9"/>
        <v>44966.748541</v>
      </c>
      <c r="K33" s="352">
        <f>44966.748541-L33-M33</f>
        <v>44966.748541</v>
      </c>
      <c r="L33" s="352"/>
      <c r="M33" s="352"/>
      <c r="N33" s="352">
        <f t="shared" si="10"/>
        <v>23536.861605</v>
      </c>
      <c r="O33" s="352">
        <v>23536.861605</v>
      </c>
      <c r="P33" s="352"/>
      <c r="Q33" s="353">
        <f t="shared" si="2"/>
        <v>0.7441595800988539</v>
      </c>
      <c r="R33" s="353">
        <f t="shared" si="13"/>
        <v>0.7600613322909976</v>
      </c>
      <c r="S33" s="353">
        <f t="shared" si="3"/>
        <v>0.7155583742741616</v>
      </c>
    </row>
    <row r="34" spans="1:19" ht="15">
      <c r="A34" s="358"/>
      <c r="B34" s="359"/>
      <c r="C34" s="358"/>
      <c r="D34" s="358"/>
      <c r="E34" s="358"/>
      <c r="F34" s="358"/>
      <c r="G34" s="358"/>
      <c r="H34" s="358"/>
      <c r="I34" s="358"/>
      <c r="J34" s="358"/>
      <c r="K34" s="358"/>
      <c r="L34" s="358"/>
      <c r="M34" s="358"/>
      <c r="N34" s="358"/>
      <c r="O34" s="358"/>
      <c r="P34" s="358"/>
      <c r="Q34" s="358"/>
      <c r="R34" s="358"/>
      <c r="S34" s="358"/>
    </row>
    <row r="35" spans="1:15" ht="15.75" hidden="1">
      <c r="A35" s="5"/>
      <c r="G35">
        <v>348764.606799</v>
      </c>
      <c r="H35">
        <v>125594.582624</v>
      </c>
      <c r="L35">
        <v>10358.153367</v>
      </c>
      <c r="M35">
        <v>21781.029781</v>
      </c>
      <c r="O35">
        <v>125594.582624</v>
      </c>
    </row>
    <row r="36" spans="7:15" ht="15" hidden="1">
      <c r="G36">
        <f>G23-G35</f>
        <v>75479.08075000008</v>
      </c>
      <c r="H36">
        <f>H23-H35</f>
        <v>35038.97208900002</v>
      </c>
      <c r="L36">
        <f>L23-L35</f>
        <v>-9704.153367</v>
      </c>
      <c r="M36">
        <f>M23-M35</f>
        <v>-21781.029781</v>
      </c>
      <c r="O36">
        <f>O23-O35</f>
        <v>35038.97208900002</v>
      </c>
    </row>
    <row r="37" ht="15" hidden="1"/>
  </sheetData>
  <sheetProtection/>
  <mergeCells count="29">
    <mergeCell ref="Q4:S4"/>
    <mergeCell ref="Q1:S1"/>
    <mergeCell ref="A2:S2"/>
    <mergeCell ref="A3:S3"/>
    <mergeCell ref="A5:A9"/>
    <mergeCell ref="B5:B9"/>
    <mergeCell ref="C5:E5"/>
    <mergeCell ref="F5:P5"/>
    <mergeCell ref="J7:M7"/>
    <mergeCell ref="N7:P7"/>
    <mergeCell ref="Q5:S5"/>
    <mergeCell ref="C6:C9"/>
    <mergeCell ref="D6:E6"/>
    <mergeCell ref="F6:F9"/>
    <mergeCell ref="O8:P8"/>
    <mergeCell ref="G6:H6"/>
    <mergeCell ref="D7:D9"/>
    <mergeCell ref="E7:E9"/>
    <mergeCell ref="G7:G9"/>
    <mergeCell ref="H7:H9"/>
    <mergeCell ref="R6:S6"/>
    <mergeCell ref="I6:P6"/>
    <mergeCell ref="Q6:Q9"/>
    <mergeCell ref="I7:I9"/>
    <mergeCell ref="R7:R9"/>
    <mergeCell ref="S7:S9"/>
    <mergeCell ref="J8:J9"/>
    <mergeCell ref="K8:M8"/>
    <mergeCell ref="N8:N9"/>
  </mergeCells>
  <printOptions horizontalCentered="1"/>
  <pageMargins left="0" right="0" top="0.5905511811023623" bottom="0"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 XP</cp:lastModifiedBy>
  <cp:lastPrinted>2019-12-12T07:32:48Z</cp:lastPrinted>
  <dcterms:created xsi:type="dcterms:W3CDTF">2017-04-26T02:19:00Z</dcterms:created>
  <dcterms:modified xsi:type="dcterms:W3CDTF">2019-12-16T10:03:06Z</dcterms:modified>
  <cp:category/>
  <cp:version/>
  <cp:contentType/>
  <cp:contentStatus/>
</cp:coreProperties>
</file>